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2774BC98-3479-4D10-96F9-71B4BFA3771F}" xr6:coauthVersionLast="36" xr6:coauthVersionMax="36" xr10:uidLastSave="{00000000-0000-0000-0000-000000000000}"/>
  <bookViews>
    <workbookView xWindow="0" yWindow="0" windowWidth="22260" windowHeight="12645" activeTab="6" xr2:uid="{00000000-000D-0000-FFFF-FFFF00000000}"/>
  </bookViews>
  <sheets>
    <sheet name="LP" sheetId="8" r:id="rId1"/>
    <sheet name="Sensitivity Report 1" sheetId="9" r:id="rId2"/>
    <sheet name="PMP reveal dual values" sheetId="2" r:id="rId3"/>
    <sheet name="PMP1_Standard" sheetId="4" r:id="rId4"/>
    <sheet name="PMP2_Average_cost" sheetId="5" r:id="rId5"/>
    <sheet name="PMP3_Paris" sheetId="6" r:id="rId6"/>
    <sheet name="PMP4_Exog._elas." sheetId="7" r:id="rId7"/>
  </sheets>
  <definedNames>
    <definedName name="solver_adj" localSheetId="0" hidden="1">LP!$B$4:$E$4</definedName>
    <definedName name="solver_adj" localSheetId="2" hidden="1">'PMP reveal dual values'!$B$4:$E$4</definedName>
    <definedName name="solver_adj" localSheetId="3" hidden="1">PMP1_Standard!$B$4:$E$4</definedName>
    <definedName name="solver_adj" localSheetId="4" hidden="1">PMP2_Average_cost!$B$4:$E$4</definedName>
    <definedName name="solver_adj" localSheetId="5" hidden="1">PMP3_Paris!$B$4:$E$4</definedName>
    <definedName name="solver_adj" localSheetId="6" hidden="1">PMP4_Exog._elas.!$B$4:$E$4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4" hidden="1">2</definedName>
    <definedName name="solver_drv" localSheetId="5" hidden="1">1</definedName>
    <definedName name="solver_drv" localSheetId="6" hidden="1">1</definedName>
    <definedName name="solver_eng" localSheetId="0" hidden="1">2</definedName>
    <definedName name="solver_eng" localSheetId="2" hidden="1">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lhs1" localSheetId="0" hidden="1">LP!$F$14</definedName>
    <definedName name="solver_lhs1" localSheetId="2" hidden="1">'PMP reveal dual values'!$F$16</definedName>
    <definedName name="solver_lhs1" localSheetId="3" hidden="1">PMP1_Standard!$F$16</definedName>
    <definedName name="solver_lhs1" localSheetId="4" hidden="1">PMP2_Average_cost!$F$16</definedName>
    <definedName name="solver_lhs1" localSheetId="5" hidden="1">PMP3_Paris!$F$16</definedName>
    <definedName name="solver_lhs1" localSheetId="6" hidden="1">PMP4_Exog._elas.!$F$16</definedName>
    <definedName name="solver_lhs2" localSheetId="0" hidden="1">LP!$F$15</definedName>
    <definedName name="solver_lhs2" localSheetId="2" hidden="1">'PMP reveal dual values'!$F$17</definedName>
    <definedName name="solver_lhs2" localSheetId="3" hidden="1">PMP1_Standard!$F$17</definedName>
    <definedName name="solver_lhs2" localSheetId="4" hidden="1">PMP2_Average_cost!$F$17</definedName>
    <definedName name="solver_lhs2" localSheetId="5" hidden="1">PMP3_Paris!$F$17</definedName>
    <definedName name="solver_lhs2" localSheetId="6" hidden="1">PMP4_Exog._elas.!$F$17</definedName>
    <definedName name="solver_lhs3" localSheetId="2" hidden="1">'PMP reveal dual values'!$F$18</definedName>
    <definedName name="solver_lhs4" localSheetId="2" hidden="1">'PMP reveal dual values'!$F$19</definedName>
    <definedName name="solver_lhs5" localSheetId="2" hidden="1">'PMP reveal dual values'!$F$20</definedName>
    <definedName name="solver_lhs6" localSheetId="2" hidden="1">'PMP reveal dual values'!$F$21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um" localSheetId="0" hidden="1">2</definedName>
    <definedName name="solver_num" localSheetId="2" hidden="1">6</definedName>
    <definedName name="solver_num" localSheetId="3" hidden="1">2</definedName>
    <definedName name="solver_num" localSheetId="4" hidden="1">2</definedName>
    <definedName name="solver_num" localSheetId="5" hidden="1">2</definedName>
    <definedName name="solver_num" localSheetId="6" hidden="1">2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opt" localSheetId="0" hidden="1">LP!$F$10</definedName>
    <definedName name="solver_opt" localSheetId="2" hidden="1">'PMP reveal dual values'!$F$12</definedName>
    <definedName name="solver_opt" localSheetId="3" hidden="1">PMP1_Standard!$F$12</definedName>
    <definedName name="solver_opt" localSheetId="4" hidden="1">PMP2_Average_cost!$F$12</definedName>
    <definedName name="solver_opt" localSheetId="5" hidden="1">PMP3_Paris!$F$12</definedName>
    <definedName name="solver_opt" localSheetId="6" hidden="1">PMP4_Exog._elas.!$F$12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4" hidden="1">2</definedName>
    <definedName name="solver_rbv" localSheetId="5" hidden="1">1</definedName>
    <definedName name="solver_rbv" localSheetId="6" hidden="1">1</definedName>
    <definedName name="solver_rel1" localSheetId="0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1" localSheetId="6" hidden="1">1</definedName>
    <definedName name="solver_rel2" localSheetId="0" hidden="1">1</definedName>
    <definedName name="solver_rel2" localSheetId="2" hidden="1">1</definedName>
    <definedName name="solver_rel2" localSheetId="3" hidden="1">1</definedName>
    <definedName name="solver_rel2" localSheetId="4" hidden="1">1</definedName>
    <definedName name="solver_rel2" localSheetId="5" hidden="1">1</definedName>
    <definedName name="solver_rel2" localSheetId="6" hidden="1">1</definedName>
    <definedName name="solver_rel3" localSheetId="2" hidden="1">1</definedName>
    <definedName name="solver_rel4" localSheetId="2" hidden="1">1</definedName>
    <definedName name="solver_rel5" localSheetId="2" hidden="1">1</definedName>
    <definedName name="solver_rel6" localSheetId="2" hidden="1">1</definedName>
    <definedName name="solver_rhs1" localSheetId="0" hidden="1">LP!$H$14</definedName>
    <definedName name="solver_rhs1" localSheetId="2" hidden="1">'PMP reveal dual values'!$H$16</definedName>
    <definedName name="solver_rhs1" localSheetId="3" hidden="1">PMP1_Standard!$H$16</definedName>
    <definedName name="solver_rhs1" localSheetId="4" hidden="1">PMP2_Average_cost!$H$16</definedName>
    <definedName name="solver_rhs1" localSheetId="5" hidden="1">PMP3_Paris!$H$16</definedName>
    <definedName name="solver_rhs1" localSheetId="6" hidden="1">PMP4_Exog._elas.!$H$16</definedName>
    <definedName name="solver_rhs2" localSheetId="0" hidden="1">LP!$H$15</definedName>
    <definedName name="solver_rhs2" localSheetId="2" hidden="1">'PMP reveal dual values'!$H$17</definedName>
    <definedName name="solver_rhs2" localSheetId="3" hidden="1">PMP1_Standard!$H$17</definedName>
    <definedName name="solver_rhs2" localSheetId="4" hidden="1">PMP2_Average_cost!$H$17</definedName>
    <definedName name="solver_rhs2" localSheetId="5" hidden="1">PMP3_Paris!$H$17</definedName>
    <definedName name="solver_rhs2" localSheetId="6" hidden="1">PMP4_Exog._elas.!$H$17</definedName>
    <definedName name="solver_rhs3" localSheetId="2" hidden="1">'PMP reveal dual values'!$H$18</definedName>
    <definedName name="solver_rhs4" localSheetId="2" hidden="1">'PMP reveal dual values'!$H$19</definedName>
    <definedName name="solver_rhs5" localSheetId="2" hidden="1">'PMP reveal dual values'!$H$20</definedName>
    <definedName name="solver_rhs6" localSheetId="2" hidden="1">'PMP reveal dual values'!$H$21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cl" localSheetId="4" hidden="1">2</definedName>
    <definedName name="solver_scl" localSheetId="5" hidden="1">1</definedName>
    <definedName name="solver_scl" localSheetId="6" hidden="1">1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yp" localSheetId="0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typ" localSheetId="6" hidden="1">1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8" l="1"/>
  <c r="F14" i="8"/>
  <c r="F9" i="8"/>
  <c r="F8" i="8"/>
  <c r="E7" i="8"/>
  <c r="D7" i="8"/>
  <c r="C7" i="8"/>
  <c r="B7" i="8"/>
  <c r="F7" i="8" s="1"/>
  <c r="F10" i="8" l="1"/>
  <c r="R14" i="5" l="1"/>
  <c r="R13" i="5"/>
  <c r="R12" i="5"/>
  <c r="R11" i="5"/>
  <c r="R14" i="4"/>
  <c r="R13" i="4"/>
  <c r="R12" i="4"/>
  <c r="R11" i="4"/>
  <c r="P13" i="7" l="1"/>
  <c r="O12" i="7"/>
  <c r="N11" i="7"/>
  <c r="F11" i="6"/>
  <c r="E11" i="6"/>
  <c r="D11" i="6"/>
  <c r="C11" i="6"/>
  <c r="B11" i="6"/>
  <c r="P13" i="6"/>
  <c r="D10" i="6" s="1"/>
  <c r="O12" i="6"/>
  <c r="C10" i="6" s="1"/>
  <c r="N11" i="6"/>
  <c r="B10" i="6" s="1"/>
  <c r="E11" i="5"/>
  <c r="D11" i="5"/>
  <c r="P13" i="5"/>
  <c r="D10" i="5" s="1"/>
  <c r="O12" i="5"/>
  <c r="C10" i="5" s="1"/>
  <c r="N11" i="5"/>
  <c r="B10" i="5" s="1"/>
  <c r="C11" i="5"/>
  <c r="B11" i="5"/>
  <c r="R13" i="7" l="1"/>
  <c r="D11" i="7" s="1"/>
  <c r="R11" i="7"/>
  <c r="B11" i="7" s="1"/>
  <c r="R12" i="7"/>
  <c r="C11" i="7" s="1"/>
  <c r="B10" i="7"/>
  <c r="C10" i="7"/>
  <c r="D10" i="7"/>
  <c r="F11" i="5"/>
  <c r="E11" i="4"/>
  <c r="D11" i="4"/>
  <c r="C11" i="4"/>
  <c r="B11" i="4"/>
  <c r="F11" i="4" s="1"/>
  <c r="P13" i="4"/>
  <c r="D10" i="4" s="1"/>
  <c r="O12" i="4"/>
  <c r="C10" i="4" s="1"/>
  <c r="N11" i="4"/>
  <c r="B10" i="4" s="1"/>
  <c r="F17" i="7" l="1"/>
  <c r="F16" i="7"/>
  <c r="F9" i="7"/>
  <c r="F8" i="7"/>
  <c r="L7" i="7"/>
  <c r="Q14" i="7" s="1"/>
  <c r="E7" i="7"/>
  <c r="D7" i="7"/>
  <c r="C7" i="7"/>
  <c r="B7" i="7"/>
  <c r="F17" i="6"/>
  <c r="F16" i="6"/>
  <c r="F9" i="6"/>
  <c r="F8" i="6"/>
  <c r="L7" i="6"/>
  <c r="Q14" i="6" s="1"/>
  <c r="E10" i="6" s="1"/>
  <c r="F10" i="6" s="1"/>
  <c r="E7" i="6"/>
  <c r="D7" i="6"/>
  <c r="C7" i="6"/>
  <c r="B7" i="6"/>
  <c r="F17" i="5"/>
  <c r="F16" i="5"/>
  <c r="F9" i="5"/>
  <c r="F8" i="5"/>
  <c r="L7" i="5"/>
  <c r="Q14" i="5" s="1"/>
  <c r="E10" i="5" s="1"/>
  <c r="F10" i="5" s="1"/>
  <c r="E7" i="5"/>
  <c r="D7" i="5"/>
  <c r="C7" i="5"/>
  <c r="B7" i="5"/>
  <c r="F17" i="4"/>
  <c r="F16" i="4"/>
  <c r="F9" i="4"/>
  <c r="F8" i="4"/>
  <c r="L7" i="4"/>
  <c r="Q14" i="4" s="1"/>
  <c r="E10" i="4" s="1"/>
  <c r="F10" i="4" s="1"/>
  <c r="E7" i="4"/>
  <c r="D7" i="4"/>
  <c r="C7" i="4"/>
  <c r="B7" i="4"/>
  <c r="F21" i="2"/>
  <c r="H20" i="2"/>
  <c r="F20" i="2"/>
  <c r="H19" i="2"/>
  <c r="F19" i="2"/>
  <c r="H18" i="2"/>
  <c r="F18" i="2"/>
  <c r="F17" i="2"/>
  <c r="F16" i="2"/>
  <c r="F9" i="2"/>
  <c r="F8" i="2"/>
  <c r="L7" i="2"/>
  <c r="H21" i="2" s="1"/>
  <c r="E7" i="2"/>
  <c r="D7" i="2"/>
  <c r="C7" i="2"/>
  <c r="B7" i="2"/>
  <c r="F12" i="6" l="1"/>
  <c r="F12" i="5"/>
  <c r="F7" i="4"/>
  <c r="F12" i="4"/>
  <c r="R14" i="7"/>
  <c r="E11" i="7" s="1"/>
  <c r="F11" i="7" s="1"/>
  <c r="E10" i="7"/>
  <c r="F10" i="7" s="1"/>
  <c r="F7" i="7"/>
  <c r="F7" i="6"/>
  <c r="F7" i="5"/>
  <c r="F12" i="2"/>
  <c r="F7" i="2"/>
  <c r="F12" i="7" l="1"/>
</calcChain>
</file>

<file path=xl/sharedStrings.xml><?xml version="1.0" encoding="utf-8"?>
<sst xmlns="http://schemas.openxmlformats.org/spreadsheetml/2006/main" count="349" uniqueCount="84">
  <si>
    <t>Wheat</t>
  </si>
  <si>
    <t>Barley</t>
  </si>
  <si>
    <t>Rapeseed</t>
  </si>
  <si>
    <t>Sugarbeet</t>
  </si>
  <si>
    <t>Value</t>
  </si>
  <si>
    <t>Constraints</t>
  </si>
  <si>
    <t>Decision variables</t>
  </si>
  <si>
    <t>Parameters. Insert formulae here</t>
  </si>
  <si>
    <t>Solution found by the solver</t>
  </si>
  <si>
    <t>Programming tableau</t>
  </si>
  <si>
    <t>Total</t>
  </si>
  <si>
    <t>Restriction</t>
  </si>
  <si>
    <t>Land allocation (ha)</t>
  </si>
  <si>
    <t xml:space="preserve">Objective function </t>
  </si>
  <si>
    <t>Expected gross margin (pesos)</t>
  </si>
  <si>
    <t>Price</t>
  </si>
  <si>
    <t>cost</t>
  </si>
  <si>
    <t>PMP q</t>
  </si>
  <si>
    <t>(Maximize)</t>
  </si>
  <si>
    <t>rho</t>
  </si>
  <si>
    <t>q</t>
  </si>
  <si>
    <t>d</t>
  </si>
  <si>
    <t>PMP d</t>
  </si>
  <si>
    <t>Sum</t>
  </si>
  <si>
    <t>Land (ha)</t>
  </si>
  <si>
    <t>Labor (hours)</t>
  </si>
  <si>
    <t>PMP1</t>
  </si>
  <si>
    <t>PMP2</t>
  </si>
  <si>
    <t>PMP3</t>
  </si>
  <si>
    <t>PMP4</t>
  </si>
  <si>
    <t>≤</t>
  </si>
  <si>
    <t>Obsevred land allocation in the base year</t>
  </si>
  <si>
    <t>Solve the LP problem with the additional land allocation constraint to derive rhos</t>
  </si>
  <si>
    <t>Original</t>
  </si>
  <si>
    <t>Scenario 1</t>
  </si>
  <si>
    <t>Scenario 2</t>
  </si>
  <si>
    <t>Scenario 3</t>
  </si>
  <si>
    <t>Scenario 4</t>
  </si>
  <si>
    <t>P_Wheat</t>
  </si>
  <si>
    <t>P_Barley</t>
  </si>
  <si>
    <t>P_Rapeseed</t>
  </si>
  <si>
    <t>P_Sugarbeet</t>
  </si>
  <si>
    <t>ε</t>
  </si>
  <si>
    <t>Solve the PMP problem using the standard approach of parameter specification</t>
  </si>
  <si>
    <t>Solve the PMP problem using the average cost approach of parameter specification</t>
  </si>
  <si>
    <t>Solve the PMP problem using the Paris approach of parameter specification</t>
  </si>
  <si>
    <t>Solve the PMP problem using the exogenous elasticities  approach of parameter specification</t>
  </si>
  <si>
    <t>Microsoft Excel 16.0 Sensitivity Report</t>
  </si>
  <si>
    <t>Worksheet: [PMP_solution.xlsx]PMP reveal dual values</t>
  </si>
  <si>
    <t>Report Created: 9/18/2022 1:31:53 PM</t>
  </si>
  <si>
    <t>Variable Cells</t>
  </si>
  <si>
    <t>Cell</t>
  </si>
  <si>
    <t>Name</t>
  </si>
  <si>
    <t>Final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</si>
  <si>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</si>
  <si>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</si>
  <si>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</si>
  <si>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</si>
  <si>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</si>
  <si>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</si>
  <si>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</si>
  <si>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</si>
  <si>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Constraint</t>
  </si>
  <si>
    <t>R.H. Side</t>
  </si>
  <si>
    <t>$B$4</t>
  </si>
  <si>
    <t>Land allocation (ha) Wheat</t>
  </si>
  <si>
    <t>$C$4</t>
  </si>
  <si>
    <t>Land allocation (ha) Barley</t>
  </si>
  <si>
    <t>$D$4</t>
  </si>
  <si>
    <t>Land allocation (ha) Rapeseed</t>
  </si>
  <si>
    <t>$E$4</t>
  </si>
  <si>
    <t>Land allocation (ha) Sugarbeet</t>
  </si>
  <si>
    <t>$F$16</t>
  </si>
  <si>
    <t>Land (ha) Total</t>
  </si>
  <si>
    <t>$F$17</t>
  </si>
  <si>
    <t>Labor (hours) Total</t>
  </si>
  <si>
    <t>$F$18</t>
  </si>
  <si>
    <t>PMP1 Total</t>
  </si>
  <si>
    <t>$F$19</t>
  </si>
  <si>
    <t>PMP2 Total</t>
  </si>
  <si>
    <t>$F$20</t>
  </si>
  <si>
    <t>PMP3 Total</t>
  </si>
  <si>
    <t>$F$21</t>
  </si>
  <si>
    <t>PMP4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</si>
</sst>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6" borderId="2" applyNumberFormat="0" applyAlignment="0" applyProtection="0"/>
  </cellStyleXfs>
  <cellXfs count="26">
    <xf numFmtId="0" fontId="0" fillId="0" borderId="0" xfId="0"/>
    <xf numFmtId="0" fontId="1" fillId="2" borderId="0" xfId="1" applyBorder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3" borderId="0" xfId="0" applyFont="1" applyFill="1"/>
    <xf numFmtId="0" fontId="5" fillId="0" borderId="0" xfId="0" applyFont="1"/>
    <xf numFmtId="164" fontId="1" fillId="2" borderId="0" xfId="1" applyNumberFormat="1" applyBorder="1"/>
    <xf numFmtId="0" fontId="0" fillId="7" borderId="0" xfId="0" applyFill="1"/>
    <xf numFmtId="0" fontId="0" fillId="0" borderId="4" xfId="0" applyBorder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2" borderId="0" xfId="1" applyBorder="1" applyAlignment="1">
      <alignment horizontal="right"/>
    </xf>
    <xf numFmtId="0" fontId="0" fillId="0" borderId="0" xfId="0" applyAlignment="1">
      <alignment horizontal="right"/>
    </xf>
    <xf numFmtId="164" fontId="0" fillId="3" borderId="0" xfId="0" applyNumberFormat="1" applyFill="1"/>
    <xf numFmtId="0" fontId="0" fillId="0" borderId="10" xfId="0" applyFill="1" applyBorder="1" applyAlignment="1"/>
    <xf numFmtId="0" fontId="0" fillId="0" borderId="11" xfId="0" applyFill="1" applyBorder="1" applyAlignment="1"/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3" fillId="6" borderId="3" xfId="2" applyBorder="1" applyAlignment="1">
      <alignment horizontal="center"/>
    </xf>
    <xf numFmtId="0" fontId="3" fillId="6" borderId="0" xfId="2" applyBorder="1" applyAlignment="1">
      <alignment horizontal="center"/>
    </xf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180E-2E7E-47DB-8F13-B24787D5EFB3}">
  <dimension ref="A1:O32"/>
  <sheetViews>
    <sheetView workbookViewId="0">
      <selection activeCell="A27" sqref="A27:E32"/>
    </sheetView>
  </sheetViews>
  <sheetFormatPr defaultRowHeight="15" x14ac:dyDescent="0.25"/>
  <cols>
    <col min="1" max="1" width="28.28515625" bestFit="1" customWidth="1"/>
    <col min="2" max="2" width="10.42578125" bestFit="1" customWidth="1"/>
    <col min="3" max="4" width="12.42578125" bestFit="1" customWidth="1"/>
    <col min="5" max="5" width="11.42578125" bestFit="1" customWidth="1"/>
    <col min="7" max="7" width="3.140625" customWidth="1"/>
  </cols>
  <sheetData>
    <row r="1" spans="1:15" x14ac:dyDescent="0.25">
      <c r="A1" s="24" t="s">
        <v>32</v>
      </c>
      <c r="B1" s="25"/>
      <c r="C1" s="25"/>
      <c r="D1" s="25"/>
      <c r="E1" s="25"/>
      <c r="F1" s="25"/>
      <c r="G1" s="25"/>
      <c r="H1" s="25"/>
      <c r="N1" s="5"/>
      <c r="O1" t="s">
        <v>6</v>
      </c>
    </row>
    <row r="2" spans="1:15" x14ac:dyDescent="0.25">
      <c r="A2" t="s">
        <v>9</v>
      </c>
      <c r="N2" s="6"/>
      <c r="O2" t="s">
        <v>7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N3" s="4"/>
      <c r="O3" t="s">
        <v>8</v>
      </c>
    </row>
    <row r="4" spans="1:15" x14ac:dyDescent="0.25">
      <c r="A4" t="s">
        <v>12</v>
      </c>
      <c r="B4" s="5">
        <v>0</v>
      </c>
      <c r="C4" s="5">
        <v>0</v>
      </c>
      <c r="D4" s="5">
        <v>200</v>
      </c>
      <c r="E4" s="5">
        <v>0</v>
      </c>
    </row>
    <row r="6" spans="1:15" x14ac:dyDescent="0.25">
      <c r="A6" t="s">
        <v>13</v>
      </c>
    </row>
    <row r="7" spans="1:15" x14ac:dyDescent="0.25">
      <c r="A7" t="s">
        <v>14</v>
      </c>
      <c r="B7" s="8">
        <f>B8-B9</f>
        <v>413</v>
      </c>
      <c r="C7" s="8">
        <f t="shared" ref="C7:E7" si="0">C8-C9</f>
        <v>443</v>
      </c>
      <c r="D7" s="8">
        <f t="shared" si="0"/>
        <v>524</v>
      </c>
      <c r="E7" s="8">
        <f t="shared" si="0"/>
        <v>516</v>
      </c>
      <c r="F7" s="3">
        <f>SUMPRODUCT($B$4:$E$4,B7:E7)</f>
        <v>104800</v>
      </c>
    </row>
    <row r="8" spans="1:15" x14ac:dyDescent="0.25">
      <c r="A8" t="s">
        <v>15</v>
      </c>
      <c r="B8" s="1">
        <v>453</v>
      </c>
      <c r="C8" s="1">
        <v>503</v>
      </c>
      <c r="D8" s="1">
        <v>559</v>
      </c>
      <c r="E8" s="1">
        <v>596</v>
      </c>
      <c r="F8" s="3">
        <f>SUMPRODUCT($B$4:$E$4,B8:E8)</f>
        <v>111800</v>
      </c>
    </row>
    <row r="9" spans="1:15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-7000</v>
      </c>
    </row>
    <row r="10" spans="1:15" x14ac:dyDescent="0.25">
      <c r="A10" t="s">
        <v>23</v>
      </c>
      <c r="F10" s="4">
        <f>SUM(F8:F9)</f>
        <v>104800</v>
      </c>
      <c r="H10" t="s">
        <v>18</v>
      </c>
    </row>
    <row r="13" spans="1:15" x14ac:dyDescent="0.25">
      <c r="A13" t="s">
        <v>5</v>
      </c>
    </row>
    <row r="14" spans="1:15" x14ac:dyDescent="0.25">
      <c r="A14" t="s">
        <v>24</v>
      </c>
      <c r="B14">
        <v>1</v>
      </c>
      <c r="C14">
        <v>1</v>
      </c>
      <c r="D14">
        <v>1</v>
      </c>
      <c r="E14">
        <v>1</v>
      </c>
      <c r="F14" s="4">
        <f t="shared" ref="F14:F15" si="1">SUMPRODUCT($B$4:$E$4,B14:E14)</f>
        <v>200</v>
      </c>
      <c r="G14" s="7" t="s">
        <v>30</v>
      </c>
      <c r="H14">
        <v>200</v>
      </c>
    </row>
    <row r="15" spans="1:15" x14ac:dyDescent="0.25">
      <c r="A15" t="s">
        <v>25</v>
      </c>
      <c r="B15">
        <v>25</v>
      </c>
      <c r="C15">
        <v>36</v>
      </c>
      <c r="D15">
        <v>27</v>
      </c>
      <c r="E15">
        <v>87</v>
      </c>
      <c r="F15" s="4">
        <f t="shared" si="1"/>
        <v>5400</v>
      </c>
      <c r="G15" s="7" t="s">
        <v>30</v>
      </c>
      <c r="H15">
        <v>10000</v>
      </c>
    </row>
    <row r="19" spans="1:5" ht="15.75" thickBot="1" x14ac:dyDescent="0.3"/>
    <row r="20" spans="1:5" ht="15.75" thickBot="1" x14ac:dyDescent="0.3">
      <c r="A20" s="10"/>
      <c r="B20" s="11" t="s">
        <v>38</v>
      </c>
      <c r="C20" s="11" t="s">
        <v>39</v>
      </c>
      <c r="D20" s="11" t="s">
        <v>40</v>
      </c>
      <c r="E20" s="11" t="s">
        <v>41</v>
      </c>
    </row>
    <row r="21" spans="1:5" ht="15.75" thickBot="1" x14ac:dyDescent="0.3">
      <c r="A21" s="12" t="s">
        <v>33</v>
      </c>
      <c r="B21" s="13">
        <v>293</v>
      </c>
      <c r="C21" s="14">
        <v>503</v>
      </c>
      <c r="D21" s="13">
        <v>319</v>
      </c>
      <c r="E21" s="14">
        <v>596</v>
      </c>
    </row>
    <row r="22" spans="1:5" ht="15.75" thickBot="1" x14ac:dyDescent="0.3">
      <c r="A22" s="12" t="s">
        <v>34</v>
      </c>
      <c r="B22" s="13">
        <v>333</v>
      </c>
      <c r="C22" s="14">
        <v>503</v>
      </c>
      <c r="D22" s="13">
        <v>379</v>
      </c>
      <c r="E22" s="14">
        <v>596</v>
      </c>
    </row>
    <row r="23" spans="1:5" ht="15.75" thickBot="1" x14ac:dyDescent="0.3">
      <c r="A23" s="12" t="s">
        <v>35</v>
      </c>
      <c r="B23" s="13">
        <v>373</v>
      </c>
      <c r="C23" s="14">
        <v>503</v>
      </c>
      <c r="D23" s="13">
        <v>439</v>
      </c>
      <c r="E23" s="14">
        <v>596</v>
      </c>
    </row>
    <row r="24" spans="1:5" ht="15.75" thickBot="1" x14ac:dyDescent="0.3">
      <c r="A24" s="12" t="s">
        <v>36</v>
      </c>
      <c r="B24" s="13">
        <v>413</v>
      </c>
      <c r="C24" s="14">
        <v>503</v>
      </c>
      <c r="D24" s="13">
        <v>499</v>
      </c>
      <c r="E24" s="14">
        <v>596</v>
      </c>
    </row>
    <row r="25" spans="1:5" ht="15.75" thickBot="1" x14ac:dyDescent="0.3">
      <c r="A25" s="12" t="s">
        <v>37</v>
      </c>
      <c r="B25" s="13">
        <v>453</v>
      </c>
      <c r="C25" s="14">
        <v>503</v>
      </c>
      <c r="D25" s="13">
        <v>559</v>
      </c>
      <c r="E25" s="14">
        <v>596</v>
      </c>
    </row>
    <row r="26" spans="1:5" ht="15.75" thickBot="1" x14ac:dyDescent="0.3"/>
    <row r="27" spans="1:5" ht="15.75" thickBot="1" x14ac:dyDescent="0.3">
      <c r="A27" s="10"/>
      <c r="B27" s="11" t="s">
        <v>0</v>
      </c>
      <c r="C27" s="11" t="s">
        <v>1</v>
      </c>
      <c r="D27" s="11" t="s">
        <v>2</v>
      </c>
      <c r="E27" s="11" t="s">
        <v>3</v>
      </c>
    </row>
    <row r="28" spans="1:5" ht="15.75" thickBot="1" x14ac:dyDescent="0.3">
      <c r="A28" s="12" t="s">
        <v>33</v>
      </c>
      <c r="B28" s="22">
        <v>0</v>
      </c>
      <c r="C28" s="23">
        <v>145.09803921568624</v>
      </c>
      <c r="D28" s="22">
        <v>0</v>
      </c>
      <c r="E28" s="23">
        <v>54.901960784313736</v>
      </c>
    </row>
    <row r="29" spans="1:5" ht="15.75" thickBot="1" x14ac:dyDescent="0.3">
      <c r="A29" s="12" t="s">
        <v>34</v>
      </c>
      <c r="B29" s="22">
        <v>0</v>
      </c>
      <c r="C29" s="23">
        <v>145.09803921568624</v>
      </c>
      <c r="D29" s="22">
        <v>0</v>
      </c>
      <c r="E29" s="23">
        <v>54.901960784313736</v>
      </c>
    </row>
    <row r="30" spans="1:5" ht="15.75" thickBot="1" x14ac:dyDescent="0.3">
      <c r="A30" s="12" t="s">
        <v>35</v>
      </c>
      <c r="B30" s="22">
        <v>0</v>
      </c>
      <c r="C30" s="23">
        <v>145.09803921568624</v>
      </c>
      <c r="D30" s="22">
        <v>0</v>
      </c>
      <c r="E30" s="23">
        <v>54.901960784313729</v>
      </c>
    </row>
    <row r="31" spans="1:5" ht="15.75" thickBot="1" x14ac:dyDescent="0.3">
      <c r="A31" s="12" t="s">
        <v>36</v>
      </c>
      <c r="B31" s="22">
        <v>0</v>
      </c>
      <c r="C31" s="23">
        <v>0</v>
      </c>
      <c r="D31" s="22">
        <v>123.33333333333333</v>
      </c>
      <c r="E31" s="23">
        <v>76.666666666666657</v>
      </c>
    </row>
    <row r="32" spans="1:5" ht="15.75" thickBot="1" x14ac:dyDescent="0.3">
      <c r="A32" s="12" t="s">
        <v>37</v>
      </c>
      <c r="B32" s="22">
        <v>0</v>
      </c>
      <c r="C32" s="23">
        <v>0</v>
      </c>
      <c r="D32" s="22">
        <v>200</v>
      </c>
      <c r="E32" s="23">
        <v>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072E-2AAA-4895-854A-0FC5059744DC}">
  <dimension ref="A1:H22"/>
  <sheetViews>
    <sheetView showGridLines="0" workbookViewId="0">
      <selection activeCell="H9" sqref="H9"/>
    </sheetView>
  </sheetViews>
  <sheetFormatPr defaultRowHeight="15" x14ac:dyDescent="0.25"/>
  <cols>
    <col min="1" max="1" width="2.28515625" customWidth="1"/>
    <col min="2" max="2" width="6" bestFit="1" customWidth="1"/>
    <col min="3" max="3" width="28.28515625" bestFit="1" customWidth="1"/>
    <col min="4" max="4" width="10" bestFit="1" customWidth="1"/>
    <col min="5" max="5" width="8.7109375" bestFit="1" customWidth="1"/>
    <col min="6" max="6" width="10.85546875" bestFit="1" customWidth="1"/>
    <col min="7" max="7" width="12" bestFit="1" customWidth="1"/>
    <col min="8" max="8" width="10" bestFit="1" customWidth="1"/>
  </cols>
  <sheetData>
    <row r="1" spans="1:8" x14ac:dyDescent="0.25">
      <c r="A1" s="2" t="s">
        <v>47</v>
      </c>
    </row>
    <row r="2" spans="1:8" x14ac:dyDescent="0.25">
      <c r="A2" s="2" t="s">
        <v>48</v>
      </c>
    </row>
    <row r="3" spans="1:8" x14ac:dyDescent="0.25">
      <c r="A3" s="2" t="s">
        <v>49</v>
      </c>
    </row>
    <row r="6" spans="1:8" ht="15.75" thickBot="1" x14ac:dyDescent="0.3">
      <c r="A6" t="s">
        <v>50</v>
      </c>
    </row>
    <row r="7" spans="1:8" x14ac:dyDescent="0.25">
      <c r="B7" s="20"/>
      <c r="C7" s="20"/>
      <c r="D7" s="20" t="s">
        <v>53</v>
      </c>
      <c r="E7" s="20" t="s">
        <v>54</v>
      </c>
      <c r="F7" s="20" t="s">
        <v>56</v>
      </c>
      <c r="G7" s="20" t="s">
        <v>58</v>
      </c>
      <c r="H7" s="20" t="s">
        <v>58</v>
      </c>
    </row>
    <row r="8" spans="1:8" ht="15.75" thickBot="1" x14ac:dyDescent="0.3">
      <c r="B8" s="21" t="s">
        <v>51</v>
      </c>
      <c r="C8" s="21" t="s">
        <v>52</v>
      </c>
      <c r="D8" s="21" t="s">
        <v>4</v>
      </c>
      <c r="E8" s="21" t="s">
        <v>55</v>
      </c>
      <c r="F8" s="21" t="s">
        <v>57</v>
      </c>
      <c r="G8" s="21" t="s">
        <v>59</v>
      </c>
      <c r="H8" s="21" t="s">
        <v>60</v>
      </c>
    </row>
    <row r="9" spans="1:8" x14ac:dyDescent="0.25">
      <c r="B9" s="18" t="s">
        <v>64</v>
      </c>
      <c r="C9" s="18" t="s">
        <v>65</v>
      </c>
      <c r="D9" s="18">
        <v>54.99969999999999</v>
      </c>
      <c r="E9" s="18">
        <v>0</v>
      </c>
      <c r="F9" s="18">
        <v>253</v>
      </c>
      <c r="G9" s="18">
        <v>31</v>
      </c>
      <c r="H9" s="18">
        <v>253</v>
      </c>
    </row>
    <row r="10" spans="1:8" x14ac:dyDescent="0.25">
      <c r="B10" s="18" t="s">
        <v>66</v>
      </c>
      <c r="C10" s="18" t="s">
        <v>67</v>
      </c>
      <c r="D10" s="18">
        <v>30.0001</v>
      </c>
      <c r="E10" s="18">
        <v>0</v>
      </c>
      <c r="F10" s="18">
        <v>443</v>
      </c>
      <c r="G10" s="18">
        <v>1E+30</v>
      </c>
      <c r="H10" s="18">
        <v>190</v>
      </c>
    </row>
    <row r="11" spans="1:8" x14ac:dyDescent="0.25">
      <c r="B11" s="18" t="s">
        <v>68</v>
      </c>
      <c r="C11" s="18" t="s">
        <v>69</v>
      </c>
      <c r="D11" s="18">
        <v>85.000100000000003</v>
      </c>
      <c r="E11" s="18">
        <v>0</v>
      </c>
      <c r="F11" s="18">
        <v>284</v>
      </c>
      <c r="G11" s="18">
        <v>1E+30</v>
      </c>
      <c r="H11" s="18">
        <v>31</v>
      </c>
    </row>
    <row r="12" spans="1:8" ht="15.75" thickBot="1" x14ac:dyDescent="0.3">
      <c r="B12" s="19" t="s">
        <v>70</v>
      </c>
      <c r="C12" s="19" t="s">
        <v>71</v>
      </c>
      <c r="D12" s="19">
        <v>30.0001</v>
      </c>
      <c r="E12" s="19">
        <v>0</v>
      </c>
      <c r="F12" s="19">
        <v>516</v>
      </c>
      <c r="G12" s="19">
        <v>1E+30</v>
      </c>
      <c r="H12" s="19">
        <v>263</v>
      </c>
    </row>
    <row r="14" spans="1:8" ht="15.75" thickBot="1" x14ac:dyDescent="0.3">
      <c r="A14" t="s">
        <v>5</v>
      </c>
    </row>
    <row r="15" spans="1:8" x14ac:dyDescent="0.25">
      <c r="B15" s="20"/>
      <c r="C15" s="20"/>
      <c r="D15" s="20" t="s">
        <v>53</v>
      </c>
      <c r="E15" s="20" t="s">
        <v>61</v>
      </c>
      <c r="F15" s="20" t="s">
        <v>62</v>
      </c>
      <c r="G15" s="20" t="s">
        <v>58</v>
      </c>
      <c r="H15" s="20" t="s">
        <v>58</v>
      </c>
    </row>
    <row r="16" spans="1:8" ht="15.75" thickBot="1" x14ac:dyDescent="0.3">
      <c r="B16" s="21" t="s">
        <v>51</v>
      </c>
      <c r="C16" s="21" t="s">
        <v>52</v>
      </c>
      <c r="D16" s="21" t="s">
        <v>4</v>
      </c>
      <c r="E16" s="21" t="s">
        <v>15</v>
      </c>
      <c r="F16" s="21" t="s">
        <v>63</v>
      </c>
      <c r="G16" s="21" t="s">
        <v>59</v>
      </c>
      <c r="H16" s="21" t="s">
        <v>60</v>
      </c>
    </row>
    <row r="17" spans="2:8" x14ac:dyDescent="0.25">
      <c r="B17" s="18" t="s">
        <v>72</v>
      </c>
      <c r="C17" s="18" t="s">
        <v>73</v>
      </c>
      <c r="D17" s="18">
        <v>200</v>
      </c>
      <c r="E17" s="18">
        <v>253</v>
      </c>
      <c r="F17" s="18">
        <v>200</v>
      </c>
      <c r="G17" s="18">
        <v>4.0000000001327862E-4</v>
      </c>
      <c r="H17" s="18">
        <v>54.99969999999999</v>
      </c>
    </row>
    <row r="18" spans="2:8" x14ac:dyDescent="0.25">
      <c r="B18" s="18" t="s">
        <v>74</v>
      </c>
      <c r="C18" s="18" t="s">
        <v>75</v>
      </c>
      <c r="D18" s="18">
        <v>7360.0074999999997</v>
      </c>
      <c r="E18" s="18">
        <v>0</v>
      </c>
      <c r="F18" s="18">
        <v>10000</v>
      </c>
      <c r="G18" s="18">
        <v>1E+30</v>
      </c>
      <c r="H18" s="18">
        <v>2639.9924999999998</v>
      </c>
    </row>
    <row r="19" spans="2:8" x14ac:dyDescent="0.25">
      <c r="B19" s="18" t="s">
        <v>76</v>
      </c>
      <c r="C19" s="18" t="s">
        <v>77</v>
      </c>
      <c r="D19" s="18">
        <v>54.99969999999999</v>
      </c>
      <c r="E19" s="18">
        <v>0</v>
      </c>
      <c r="F19" s="18">
        <v>55.000100000000003</v>
      </c>
      <c r="G19" s="18">
        <v>1E+30</v>
      </c>
      <c r="H19" s="18">
        <v>4.0000000001327862E-4</v>
      </c>
    </row>
    <row r="20" spans="2:8" x14ac:dyDescent="0.25">
      <c r="B20" s="18" t="s">
        <v>78</v>
      </c>
      <c r="C20" s="18" t="s">
        <v>79</v>
      </c>
      <c r="D20" s="18">
        <v>30.0001</v>
      </c>
      <c r="E20" s="18">
        <v>190</v>
      </c>
      <c r="F20" s="18">
        <v>30.0001</v>
      </c>
      <c r="G20" s="18">
        <v>54.99969999999999</v>
      </c>
      <c r="H20" s="18">
        <v>4.0000000001327862E-4</v>
      </c>
    </row>
    <row r="21" spans="2:8" x14ac:dyDescent="0.25">
      <c r="B21" s="18" t="s">
        <v>80</v>
      </c>
      <c r="C21" s="18" t="s">
        <v>81</v>
      </c>
      <c r="D21" s="18">
        <v>85.000100000000003</v>
      </c>
      <c r="E21" s="18">
        <v>31</v>
      </c>
      <c r="F21" s="18">
        <v>85.000100000000003</v>
      </c>
      <c r="G21" s="18">
        <v>54.99969999999999</v>
      </c>
      <c r="H21" s="18">
        <v>4.0000000001327862E-4</v>
      </c>
    </row>
    <row r="22" spans="2:8" ht="15.75" thickBot="1" x14ac:dyDescent="0.3">
      <c r="B22" s="19" t="s">
        <v>82</v>
      </c>
      <c r="C22" s="19" t="s">
        <v>83</v>
      </c>
      <c r="D22" s="19">
        <v>30.0001</v>
      </c>
      <c r="E22" s="19">
        <v>263</v>
      </c>
      <c r="F22" s="19">
        <v>30.0001</v>
      </c>
      <c r="G22" s="19">
        <v>42.580524193548385</v>
      </c>
      <c r="H22" s="19">
        <v>4.0000000001327862E-4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19AA-E810-47A3-9B5D-929B8F8DF44F}">
  <dimension ref="A1:N21"/>
  <sheetViews>
    <sheetView workbookViewId="0">
      <selection activeCell="Q26" sqref="Q26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4" x14ac:dyDescent="0.25">
      <c r="A1" s="24" t="s">
        <v>32</v>
      </c>
      <c r="B1" s="25"/>
      <c r="C1" s="25"/>
      <c r="D1" s="25"/>
      <c r="E1" s="25"/>
      <c r="F1" s="25"/>
      <c r="G1" s="25"/>
      <c r="H1" s="25"/>
    </row>
    <row r="2" spans="1:14" x14ac:dyDescent="0.25">
      <c r="A2" t="s">
        <v>9</v>
      </c>
    </row>
    <row r="3" spans="1:14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H3" t="s">
        <v>11</v>
      </c>
      <c r="K3" s="1" t="s">
        <v>31</v>
      </c>
      <c r="L3" s="1"/>
      <c r="M3" s="1"/>
      <c r="N3" s="1"/>
    </row>
    <row r="4" spans="1:14" x14ac:dyDescent="0.25">
      <c r="A4" t="s">
        <v>12</v>
      </c>
      <c r="B4" s="5">
        <v>54.99969999999999</v>
      </c>
      <c r="C4" s="5">
        <v>30.0001</v>
      </c>
      <c r="D4" s="5">
        <v>85.000100000000003</v>
      </c>
      <c r="E4" s="5">
        <v>30.0001</v>
      </c>
      <c r="K4" s="1" t="s">
        <v>0</v>
      </c>
      <c r="L4" s="1">
        <v>55</v>
      </c>
      <c r="M4" s="1"/>
      <c r="N4" s="1"/>
    </row>
    <row r="5" spans="1:14" x14ac:dyDescent="0.25">
      <c r="K5" s="1" t="s">
        <v>1</v>
      </c>
      <c r="L5" s="1">
        <v>30</v>
      </c>
      <c r="M5" s="1"/>
      <c r="N5" s="1"/>
    </row>
    <row r="6" spans="1:14" x14ac:dyDescent="0.25">
      <c r="A6" t="s">
        <v>13</v>
      </c>
      <c r="K6" s="1" t="s">
        <v>2</v>
      </c>
      <c r="L6" s="1">
        <v>85</v>
      </c>
      <c r="M6" s="1"/>
      <c r="N6" s="1"/>
    </row>
    <row r="7" spans="1:14" x14ac:dyDescent="0.25">
      <c r="A7" t="s">
        <v>14</v>
      </c>
      <c r="B7" s="8">
        <f>B8-B9</f>
        <v>253</v>
      </c>
      <c r="C7" s="8">
        <f t="shared" ref="C7:E7" si="0">C8-C9</f>
        <v>443</v>
      </c>
      <c r="D7" s="8">
        <f t="shared" si="0"/>
        <v>284</v>
      </c>
      <c r="E7" s="8">
        <f t="shared" si="0"/>
        <v>516</v>
      </c>
      <c r="F7" s="3">
        <f>SUMPRODUCT($B$4:$E$4,B7:E7)</f>
        <v>66825.0484</v>
      </c>
      <c r="K7" s="1" t="s">
        <v>3</v>
      </c>
      <c r="L7" s="1">
        <f>H16-SUM(L4:L6)</f>
        <v>30</v>
      </c>
      <c r="M7" s="1"/>
      <c r="N7" s="1"/>
    </row>
    <row r="8" spans="1:14" x14ac:dyDescent="0.25">
      <c r="A8" t="s">
        <v>15</v>
      </c>
      <c r="B8" s="1">
        <v>293</v>
      </c>
      <c r="C8" s="1">
        <v>503</v>
      </c>
      <c r="D8" s="1">
        <v>319</v>
      </c>
      <c r="E8" s="1">
        <v>596</v>
      </c>
      <c r="F8" s="3">
        <f>SUMPRODUCT($B$4:$E$4,B8:E8)</f>
        <v>76200.053899999999</v>
      </c>
    </row>
    <row r="9" spans="1:14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-9375.0054999999993</v>
      </c>
    </row>
    <row r="10" spans="1:14" x14ac:dyDescent="0.25">
      <c r="A10" t="s">
        <v>17</v>
      </c>
    </row>
    <row r="11" spans="1:14" x14ac:dyDescent="0.25">
      <c r="A11" t="s">
        <v>22</v>
      </c>
    </row>
    <row r="12" spans="1:14" x14ac:dyDescent="0.25">
      <c r="A12" t="s">
        <v>23</v>
      </c>
      <c r="F12" s="4">
        <f>SUM(F8:F11)</f>
        <v>66825.0484</v>
      </c>
      <c r="H12" t="s">
        <v>18</v>
      </c>
    </row>
    <row r="15" spans="1:14" x14ac:dyDescent="0.25">
      <c r="A15" t="s">
        <v>5</v>
      </c>
    </row>
    <row r="16" spans="1:14" x14ac:dyDescent="0.25">
      <c r="A16" t="s">
        <v>24</v>
      </c>
      <c r="B16">
        <v>1</v>
      </c>
      <c r="C16">
        <v>1</v>
      </c>
      <c r="D16">
        <v>1</v>
      </c>
      <c r="E16">
        <v>1</v>
      </c>
      <c r="F16" s="4">
        <f t="shared" ref="F16:F21" si="1">SUMPRODUCT($B$4:$E$4,B16:E16)</f>
        <v>200</v>
      </c>
      <c r="G16" s="7" t="s">
        <v>30</v>
      </c>
      <c r="H16">
        <v>200</v>
      </c>
    </row>
    <row r="17" spans="1:8" x14ac:dyDescent="0.25">
      <c r="A17" t="s">
        <v>25</v>
      </c>
      <c r="B17">
        <v>25</v>
      </c>
      <c r="C17">
        <v>36</v>
      </c>
      <c r="D17">
        <v>27</v>
      </c>
      <c r="E17">
        <v>87</v>
      </c>
      <c r="F17" s="4">
        <f t="shared" si="1"/>
        <v>7360.0074999999997</v>
      </c>
      <c r="G17" s="7" t="s">
        <v>30</v>
      </c>
      <c r="H17">
        <v>10000</v>
      </c>
    </row>
    <row r="18" spans="1:8" x14ac:dyDescent="0.25">
      <c r="A18" t="s">
        <v>26</v>
      </c>
      <c r="B18">
        <v>1</v>
      </c>
      <c r="F18" s="4">
        <f t="shared" si="1"/>
        <v>54.99969999999999</v>
      </c>
      <c r="G18" s="7" t="s">
        <v>30</v>
      </c>
      <c r="H18">
        <f>L4+0.0001</f>
        <v>55.000100000000003</v>
      </c>
    </row>
    <row r="19" spans="1:8" x14ac:dyDescent="0.25">
      <c r="A19" t="s">
        <v>27</v>
      </c>
      <c r="C19">
        <v>1</v>
      </c>
      <c r="F19" s="4">
        <f t="shared" si="1"/>
        <v>30.0001</v>
      </c>
      <c r="G19" s="7" t="s">
        <v>30</v>
      </c>
      <c r="H19">
        <f>L5+0.0001</f>
        <v>30.0001</v>
      </c>
    </row>
    <row r="20" spans="1:8" x14ac:dyDescent="0.25">
      <c r="A20" t="s">
        <v>28</v>
      </c>
      <c r="D20">
        <v>1</v>
      </c>
      <c r="F20" s="4">
        <f t="shared" si="1"/>
        <v>85.000100000000003</v>
      </c>
      <c r="G20" s="7" t="s">
        <v>30</v>
      </c>
      <c r="H20">
        <f>L6+0.0001</f>
        <v>85.000100000000003</v>
      </c>
    </row>
    <row r="21" spans="1:8" x14ac:dyDescent="0.25">
      <c r="A21" t="s">
        <v>29</v>
      </c>
      <c r="E21">
        <v>1</v>
      </c>
      <c r="F21" s="4">
        <f t="shared" si="1"/>
        <v>30.0001</v>
      </c>
      <c r="G21" s="7" t="s">
        <v>30</v>
      </c>
      <c r="H21">
        <f>L7+0.0001</f>
        <v>30.0001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2784-A6D0-4B95-BC16-4305A3607600}">
  <dimension ref="A1:R34"/>
  <sheetViews>
    <sheetView workbookViewId="0">
      <selection activeCell="I31" sqref="I31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24" t="s">
        <v>43</v>
      </c>
      <c r="B1" s="25"/>
      <c r="C1" s="25"/>
      <c r="D1" s="25"/>
      <c r="E1" s="25"/>
      <c r="F1" s="25"/>
      <c r="G1" s="25"/>
      <c r="H1" s="25"/>
    </row>
    <row r="2" spans="1:18" x14ac:dyDescent="0.25">
      <c r="A2" t="s">
        <v>9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H3" t="s">
        <v>11</v>
      </c>
      <c r="K3" s="1" t="s">
        <v>31</v>
      </c>
      <c r="L3" s="1"/>
      <c r="M3" s="1"/>
      <c r="N3" s="1"/>
    </row>
    <row r="4" spans="1:18" x14ac:dyDescent="0.25">
      <c r="A4" t="s">
        <v>12</v>
      </c>
      <c r="B4" s="5">
        <v>0</v>
      </c>
      <c r="C4" s="5">
        <v>0</v>
      </c>
      <c r="D4" s="5">
        <v>192.88812616979078</v>
      </c>
      <c r="E4" s="5">
        <v>7.1118732307248882</v>
      </c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13</v>
      </c>
      <c r="K6" s="1" t="s">
        <v>2</v>
      </c>
      <c r="L6" s="1">
        <v>85</v>
      </c>
      <c r="M6" s="1"/>
      <c r="N6" s="1"/>
    </row>
    <row r="7" spans="1:18" x14ac:dyDescent="0.25">
      <c r="A7" t="s">
        <v>14</v>
      </c>
      <c r="B7" s="8">
        <f>B8-B9</f>
        <v>413</v>
      </c>
      <c r="C7" s="8">
        <f t="shared" ref="C7:E7" si="0">C8-C9</f>
        <v>443</v>
      </c>
      <c r="D7" s="8">
        <f t="shared" si="0"/>
        <v>524</v>
      </c>
      <c r="E7" s="8">
        <f t="shared" si="0"/>
        <v>516</v>
      </c>
      <c r="F7" s="3">
        <f>SUMPRODUCT($B$4:$E$4,B7:E7)</f>
        <v>104743.10470002441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15</v>
      </c>
      <c r="B8" s="8">
        <v>453</v>
      </c>
      <c r="C8" s="8">
        <v>503</v>
      </c>
      <c r="D8" s="8">
        <v>559</v>
      </c>
      <c r="E8" s="8">
        <v>596</v>
      </c>
      <c r="F8" s="3">
        <f>SUMPRODUCT($B$4:$E$4,B8:E8)</f>
        <v>112063.13897442508</v>
      </c>
    </row>
    <row r="9" spans="1:18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-7320.0342744006684</v>
      </c>
    </row>
    <row r="10" spans="1:18" x14ac:dyDescent="0.25">
      <c r="A10" t="s">
        <v>17</v>
      </c>
      <c r="B10" s="3">
        <f>-0.5*B4*N11*B4</f>
        <v>0</v>
      </c>
      <c r="C10" s="3">
        <f>-0.5*C4*O12*C4</f>
        <v>0</v>
      </c>
      <c r="D10" s="3">
        <f>-0.5*D4*P13*D4</f>
        <v>-6784.5923866828634</v>
      </c>
      <c r="E10" s="3">
        <f>-0.5*E4*Q14*E4</f>
        <v>-221.70348072540054</v>
      </c>
      <c r="F10" s="3">
        <f>SUM(B10:E10)</f>
        <v>-7006.2958674082638</v>
      </c>
      <c r="K10" t="s">
        <v>19</v>
      </c>
      <c r="M10" t="s">
        <v>20</v>
      </c>
      <c r="N10" t="s">
        <v>0</v>
      </c>
      <c r="O10" t="s">
        <v>1</v>
      </c>
      <c r="P10" t="s">
        <v>2</v>
      </c>
      <c r="Q10" t="s">
        <v>3</v>
      </c>
      <c r="R10" s="16" t="s">
        <v>21</v>
      </c>
    </row>
    <row r="11" spans="1:18" x14ac:dyDescent="0.25">
      <c r="A11" t="s">
        <v>22</v>
      </c>
      <c r="B11" s="17">
        <f>-R11</f>
        <v>-40</v>
      </c>
      <c r="C11" s="17">
        <f>-R12</f>
        <v>-60</v>
      </c>
      <c r="D11" s="17">
        <f>-R13</f>
        <v>-35</v>
      </c>
      <c r="E11" s="17">
        <f>-R14</f>
        <v>-80</v>
      </c>
      <c r="F11" s="3">
        <f>SUMPRODUCT($B$4:$E$4,B11:E11)</f>
        <v>-7320.0342744006684</v>
      </c>
      <c r="K11" t="s">
        <v>0</v>
      </c>
      <c r="L11" s="3">
        <v>0</v>
      </c>
      <c r="M11" s="9"/>
      <c r="N11" s="4">
        <f>L11/L4</f>
        <v>0</v>
      </c>
      <c r="O11" s="9"/>
      <c r="P11" s="9"/>
      <c r="Q11" s="9"/>
      <c r="R11" s="17">
        <f>B9</f>
        <v>40</v>
      </c>
    </row>
    <row r="12" spans="1:18" x14ac:dyDescent="0.25">
      <c r="A12" t="s">
        <v>23</v>
      </c>
      <c r="F12" s="4">
        <f>SUM(F8,F10:F11)</f>
        <v>97736.808832616152</v>
      </c>
      <c r="H12" t="s">
        <v>18</v>
      </c>
      <c r="K12" t="s">
        <v>1</v>
      </c>
      <c r="L12" s="3">
        <v>190</v>
      </c>
      <c r="M12" s="9"/>
      <c r="N12" s="9"/>
      <c r="O12" s="4">
        <f>L12/L5</f>
        <v>6.333333333333333</v>
      </c>
      <c r="P12" s="9"/>
      <c r="Q12" s="9"/>
      <c r="R12" s="17">
        <f>C9</f>
        <v>60</v>
      </c>
    </row>
    <row r="13" spans="1:18" x14ac:dyDescent="0.25">
      <c r="K13" t="s">
        <v>2</v>
      </c>
      <c r="L13" s="3">
        <v>31</v>
      </c>
      <c r="M13" s="9"/>
      <c r="N13" s="9"/>
      <c r="O13" s="9"/>
      <c r="P13" s="4">
        <f>L13/L6</f>
        <v>0.36470588235294116</v>
      </c>
      <c r="Q13" s="9"/>
      <c r="R13" s="17">
        <f>D9</f>
        <v>35</v>
      </c>
    </row>
    <row r="14" spans="1:18" x14ac:dyDescent="0.25">
      <c r="K14" t="s">
        <v>3</v>
      </c>
      <c r="L14" s="3">
        <v>263</v>
      </c>
      <c r="M14" s="9"/>
      <c r="N14" s="9"/>
      <c r="O14" s="9"/>
      <c r="P14" s="9"/>
      <c r="Q14" s="4">
        <f>L14/L7</f>
        <v>8.7666666666666675</v>
      </c>
      <c r="R14" s="17">
        <f>E9</f>
        <v>80</v>
      </c>
    </row>
    <row r="15" spans="1:18" x14ac:dyDescent="0.25">
      <c r="A15" t="s">
        <v>5</v>
      </c>
    </row>
    <row r="16" spans="1:18" x14ac:dyDescent="0.25">
      <c r="A16" t="s">
        <v>24</v>
      </c>
      <c r="B16">
        <v>1</v>
      </c>
      <c r="C16">
        <v>1</v>
      </c>
      <c r="D16">
        <v>1</v>
      </c>
      <c r="E16">
        <v>1</v>
      </c>
      <c r="F16" s="4">
        <f t="shared" ref="F16:F17" si="1">SUMPRODUCT($B$4:$E$4,B16:E16)</f>
        <v>199.99999940051566</v>
      </c>
      <c r="G16" s="7" t="s">
        <v>30</v>
      </c>
      <c r="H16">
        <v>200</v>
      </c>
    </row>
    <row r="17" spans="1:8" x14ac:dyDescent="0.25">
      <c r="A17" t="s">
        <v>25</v>
      </c>
      <c r="B17">
        <v>25</v>
      </c>
      <c r="C17">
        <v>36</v>
      </c>
      <c r="D17">
        <v>27</v>
      </c>
      <c r="E17">
        <v>87</v>
      </c>
      <c r="F17" s="4">
        <f t="shared" si="1"/>
        <v>5826.7123776574163</v>
      </c>
      <c r="G17" s="7" t="s">
        <v>30</v>
      </c>
      <c r="H17">
        <v>10000</v>
      </c>
    </row>
    <row r="21" spans="1:8" ht="15.75" thickBot="1" x14ac:dyDescent="0.3"/>
    <row r="22" spans="1:8" ht="15.75" thickBot="1" x14ac:dyDescent="0.3">
      <c r="A22" s="10"/>
      <c r="B22" s="11" t="s">
        <v>38</v>
      </c>
      <c r="C22" s="11" t="s">
        <v>39</v>
      </c>
      <c r="D22" s="11" t="s">
        <v>40</v>
      </c>
      <c r="E22" s="11" t="s">
        <v>41</v>
      </c>
    </row>
    <row r="23" spans="1:8" ht="15.75" thickBot="1" x14ac:dyDescent="0.3">
      <c r="A23" s="12" t="s">
        <v>33</v>
      </c>
      <c r="B23" s="13">
        <v>293</v>
      </c>
      <c r="C23" s="14">
        <v>503</v>
      </c>
      <c r="D23" s="13">
        <v>319</v>
      </c>
      <c r="E23" s="14">
        <v>596</v>
      </c>
    </row>
    <row r="24" spans="1:8" ht="15.75" thickBot="1" x14ac:dyDescent="0.3">
      <c r="A24" s="12" t="s">
        <v>34</v>
      </c>
      <c r="B24" s="13">
        <v>333</v>
      </c>
      <c r="C24" s="14">
        <v>503</v>
      </c>
      <c r="D24" s="13">
        <v>379</v>
      </c>
      <c r="E24" s="14">
        <v>596</v>
      </c>
    </row>
    <row r="25" spans="1:8" ht="15.75" thickBot="1" x14ac:dyDescent="0.3">
      <c r="A25" s="12" t="s">
        <v>35</v>
      </c>
      <c r="B25" s="13">
        <v>373</v>
      </c>
      <c r="C25" s="14">
        <v>503</v>
      </c>
      <c r="D25" s="13">
        <v>439</v>
      </c>
      <c r="E25" s="14">
        <v>596</v>
      </c>
    </row>
    <row r="26" spans="1:8" ht="15.75" thickBot="1" x14ac:dyDescent="0.3">
      <c r="A26" s="12" t="s">
        <v>36</v>
      </c>
      <c r="B26" s="13">
        <v>413</v>
      </c>
      <c r="C26" s="14">
        <v>503</v>
      </c>
      <c r="D26" s="13">
        <v>499</v>
      </c>
      <c r="E26" s="14">
        <v>596</v>
      </c>
    </row>
    <row r="27" spans="1:8" ht="15.75" thickBot="1" x14ac:dyDescent="0.3">
      <c r="A27" s="12" t="s">
        <v>37</v>
      </c>
      <c r="B27" s="13">
        <v>453</v>
      </c>
      <c r="C27" s="14">
        <v>503</v>
      </c>
      <c r="D27" s="13">
        <v>559</v>
      </c>
      <c r="E27" s="14">
        <v>596</v>
      </c>
    </row>
    <row r="28" spans="1:8" ht="15.75" thickBot="1" x14ac:dyDescent="0.3"/>
    <row r="29" spans="1:8" ht="15.75" thickBot="1" x14ac:dyDescent="0.3">
      <c r="A29" s="10"/>
      <c r="B29" s="11" t="s">
        <v>0</v>
      </c>
      <c r="C29" s="11" t="s">
        <v>1</v>
      </c>
      <c r="D29" s="11" t="s">
        <v>2</v>
      </c>
      <c r="E29" s="11" t="s">
        <v>3</v>
      </c>
    </row>
    <row r="30" spans="1:8" ht="15.75" thickBot="1" x14ac:dyDescent="0.3">
      <c r="A30" s="12" t="s">
        <v>33</v>
      </c>
      <c r="B30" s="22">
        <v>55.000032314193149</v>
      </c>
      <c r="C30" s="23">
        <v>30.000004444814898</v>
      </c>
      <c r="D30" s="22">
        <v>84.999973012040712</v>
      </c>
      <c r="E30" s="23">
        <v>29.999990228951209</v>
      </c>
    </row>
    <row r="31" spans="1:8" ht="15.75" thickBot="1" x14ac:dyDescent="0.3">
      <c r="A31" s="12" t="s">
        <v>34</v>
      </c>
      <c r="B31" s="22">
        <v>11.040072104385573</v>
      </c>
      <c r="C31" s="23">
        <v>23.684194328953716</v>
      </c>
      <c r="D31" s="22">
        <v>139.83848784381388</v>
      </c>
      <c r="E31" s="23">
        <v>25.437244742480981</v>
      </c>
    </row>
    <row r="32" spans="1:8" ht="15.75" thickBot="1" x14ac:dyDescent="0.3">
      <c r="A32" s="12" t="s">
        <v>35</v>
      </c>
      <c r="B32" s="22">
        <v>0</v>
      </c>
      <c r="C32" s="23">
        <v>15.643745158984212</v>
      </c>
      <c r="D32" s="22">
        <v>164.72768901134708</v>
      </c>
      <c r="E32" s="23">
        <v>19.628564120840473</v>
      </c>
    </row>
    <row r="33" spans="1:5" ht="15.75" thickBot="1" x14ac:dyDescent="0.3">
      <c r="A33" s="12" t="s">
        <v>36</v>
      </c>
      <c r="B33" s="22">
        <v>0</v>
      </c>
      <c r="C33" s="23">
        <v>7.0249473966268878</v>
      </c>
      <c r="D33" s="22">
        <v>179.57300245651831</v>
      </c>
      <c r="E33" s="23">
        <v>13.402049103576175</v>
      </c>
    </row>
    <row r="34" spans="1:5" ht="15.75" thickBot="1" x14ac:dyDescent="0.3">
      <c r="A34" s="12" t="s">
        <v>37</v>
      </c>
      <c r="B34" s="22">
        <v>0</v>
      </c>
      <c r="C34" s="23">
        <v>0</v>
      </c>
      <c r="D34" s="22">
        <v>192.88812616979078</v>
      </c>
      <c r="E34" s="23">
        <v>7.1118732307248882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F322-B430-4921-B5A6-AE992D04D953}">
  <dimension ref="A1:R34"/>
  <sheetViews>
    <sheetView workbookViewId="0">
      <selection activeCell="A29" sqref="A29:E34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24" t="s">
        <v>44</v>
      </c>
      <c r="B1" s="25"/>
      <c r="C1" s="25"/>
      <c r="D1" s="25"/>
      <c r="E1" s="25"/>
      <c r="F1" s="25"/>
      <c r="G1" s="25"/>
      <c r="H1" s="25"/>
    </row>
    <row r="2" spans="1:18" x14ac:dyDescent="0.25">
      <c r="A2" t="s">
        <v>9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H3" t="s">
        <v>11</v>
      </c>
      <c r="K3" s="1" t="s">
        <v>31</v>
      </c>
      <c r="L3" s="1"/>
      <c r="M3" s="1"/>
      <c r="N3" s="1"/>
    </row>
    <row r="4" spans="1:18" x14ac:dyDescent="0.25">
      <c r="A4" t="s">
        <v>12</v>
      </c>
      <c r="B4" s="5">
        <v>0</v>
      </c>
      <c r="C4" s="5">
        <v>15.643761419991298</v>
      </c>
      <c r="D4" s="5">
        <v>164.72766641706917</v>
      </c>
      <c r="E4" s="5">
        <v>19.628572162939562</v>
      </c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13</v>
      </c>
      <c r="K6" s="1" t="s">
        <v>2</v>
      </c>
      <c r="L6" s="1">
        <v>85</v>
      </c>
      <c r="M6" s="1"/>
      <c r="N6" s="1"/>
    </row>
    <row r="7" spans="1:18" x14ac:dyDescent="0.25">
      <c r="A7" t="s">
        <v>14</v>
      </c>
      <c r="B7" s="8">
        <f>B8-B9</f>
        <v>413</v>
      </c>
      <c r="C7" s="8">
        <f t="shared" ref="C7:E7" si="0">C8-C9</f>
        <v>443</v>
      </c>
      <c r="D7" s="8">
        <f t="shared" si="0"/>
        <v>524</v>
      </c>
      <c r="E7" s="8">
        <f t="shared" si="0"/>
        <v>516</v>
      </c>
      <c r="F7" s="3">
        <f>SUMPRODUCT($B$4:$E$4,B7:E7)</f>
        <v>103375.8267476772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15</v>
      </c>
      <c r="B8" s="1">
        <v>453</v>
      </c>
      <c r="C8" s="1">
        <v>503</v>
      </c>
      <c r="D8" s="1">
        <v>559</v>
      </c>
      <c r="E8" s="1">
        <v>596</v>
      </c>
      <c r="F8" s="3">
        <f>SUMPRODUCT($B$4:$E$4,B8:E8)</f>
        <v>111650.20653050927</v>
      </c>
    </row>
    <row r="9" spans="1:18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-8274.3797828320639</v>
      </c>
    </row>
    <row r="10" spans="1:18" x14ac:dyDescent="0.25">
      <c r="A10" t="s">
        <v>17</v>
      </c>
      <c r="B10" s="3">
        <f>-0.5*B4*N11*B4</f>
        <v>0</v>
      </c>
      <c r="C10" s="3">
        <f>-0.5*C4*O12*C4</f>
        <v>-1549.9393853155182</v>
      </c>
      <c r="D10" s="3">
        <f>-0.5*D4*P13*D4</f>
        <v>-9896.3685479954092</v>
      </c>
      <c r="E10" s="3">
        <f>-0.5*E4*Q14*E4</f>
        <v>-3377.6287425318637</v>
      </c>
      <c r="F10" s="3">
        <f>SUM(B10:E10)</f>
        <v>-14823.936675842791</v>
      </c>
      <c r="K10" t="s">
        <v>19</v>
      </c>
      <c r="M10" t="s">
        <v>20</v>
      </c>
      <c r="N10" t="s">
        <v>0</v>
      </c>
      <c r="O10" t="s">
        <v>1</v>
      </c>
      <c r="P10" t="s">
        <v>2</v>
      </c>
      <c r="Q10" t="s">
        <v>3</v>
      </c>
      <c r="R10" s="16" t="s">
        <v>21</v>
      </c>
    </row>
    <row r="11" spans="1:18" x14ac:dyDescent="0.25">
      <c r="A11" t="s">
        <v>22</v>
      </c>
      <c r="B11" s="3">
        <f>-R11</f>
        <v>-40</v>
      </c>
      <c r="C11" s="3">
        <f>-R12</f>
        <v>130</v>
      </c>
      <c r="D11" s="3">
        <f>-R13</f>
        <v>-4</v>
      </c>
      <c r="E11" s="3">
        <f>-R14</f>
        <v>183</v>
      </c>
      <c r="F11" s="3">
        <f>SUMPRODUCT(B4:E4,B11:E11)</f>
        <v>4966.8070247485321</v>
      </c>
      <c r="K11" t="s">
        <v>0</v>
      </c>
      <c r="L11" s="3">
        <v>0</v>
      </c>
      <c r="M11" s="9"/>
      <c r="N11" s="4">
        <f>2*L11/L4</f>
        <v>0</v>
      </c>
      <c r="O11" s="9"/>
      <c r="P11" s="9"/>
      <c r="Q11" s="9"/>
      <c r="R11" s="17">
        <f>B9-L11</f>
        <v>40</v>
      </c>
    </row>
    <row r="12" spans="1:18" x14ac:dyDescent="0.25">
      <c r="A12" t="s">
        <v>23</v>
      </c>
      <c r="F12" s="4">
        <f>SUM(F8,F10:F11)</f>
        <v>101793.07687941501</v>
      </c>
      <c r="H12" t="s">
        <v>18</v>
      </c>
      <c r="K12" t="s">
        <v>1</v>
      </c>
      <c r="L12" s="3">
        <v>190</v>
      </c>
      <c r="M12" s="9"/>
      <c r="N12" s="9"/>
      <c r="O12" s="4">
        <f>2*L12/L5</f>
        <v>12.666666666666666</v>
      </c>
      <c r="P12" s="9"/>
      <c r="Q12" s="9"/>
      <c r="R12" s="17">
        <f>C9-L12</f>
        <v>-130</v>
      </c>
    </row>
    <row r="13" spans="1:18" x14ac:dyDescent="0.25">
      <c r="K13" t="s">
        <v>2</v>
      </c>
      <c r="L13" s="3">
        <v>31</v>
      </c>
      <c r="M13" s="9"/>
      <c r="N13" s="9"/>
      <c r="O13" s="9"/>
      <c r="P13" s="4">
        <f>2*L13/L6</f>
        <v>0.72941176470588232</v>
      </c>
      <c r="Q13" s="9"/>
      <c r="R13" s="17">
        <f>D9-L13</f>
        <v>4</v>
      </c>
    </row>
    <row r="14" spans="1:18" x14ac:dyDescent="0.25">
      <c r="K14" t="s">
        <v>3</v>
      </c>
      <c r="L14" s="3">
        <v>263</v>
      </c>
      <c r="M14" s="9"/>
      <c r="N14" s="9"/>
      <c r="O14" s="9"/>
      <c r="P14" s="9"/>
      <c r="Q14" s="4">
        <f>2*L14/L7</f>
        <v>17.533333333333335</v>
      </c>
      <c r="R14" s="17">
        <f>E9-L14</f>
        <v>-183</v>
      </c>
    </row>
    <row r="15" spans="1:18" x14ac:dyDescent="0.25">
      <c r="A15" t="s">
        <v>5</v>
      </c>
    </row>
    <row r="16" spans="1:18" x14ac:dyDescent="0.25">
      <c r="A16" t="s">
        <v>24</v>
      </c>
      <c r="B16">
        <v>1</v>
      </c>
      <c r="C16">
        <v>1</v>
      </c>
      <c r="D16">
        <v>1</v>
      </c>
      <c r="E16">
        <v>1</v>
      </c>
      <c r="F16" s="4">
        <f t="shared" ref="F16:F17" si="1">SUMPRODUCT($B$4:$E$4,B16:E16)</f>
        <v>200.00000000000006</v>
      </c>
      <c r="G16" s="7" t="s">
        <v>30</v>
      </c>
      <c r="H16">
        <v>200</v>
      </c>
    </row>
    <row r="17" spans="1:8" x14ac:dyDescent="0.25">
      <c r="A17" t="s">
        <v>25</v>
      </c>
      <c r="B17">
        <v>25</v>
      </c>
      <c r="C17">
        <v>36</v>
      </c>
      <c r="D17">
        <v>27</v>
      </c>
      <c r="E17">
        <v>87</v>
      </c>
      <c r="F17" s="4">
        <f t="shared" si="1"/>
        <v>6718.5081825562966</v>
      </c>
      <c r="G17" s="7" t="s">
        <v>30</v>
      </c>
      <c r="H17">
        <v>10000</v>
      </c>
    </row>
    <row r="21" spans="1:8" ht="15.75" thickBot="1" x14ac:dyDescent="0.3"/>
    <row r="22" spans="1:8" ht="15.75" thickBot="1" x14ac:dyDescent="0.3">
      <c r="A22" s="10"/>
      <c r="B22" s="11" t="s">
        <v>38</v>
      </c>
      <c r="C22" s="11" t="s">
        <v>39</v>
      </c>
      <c r="D22" s="11" t="s">
        <v>40</v>
      </c>
      <c r="E22" s="11" t="s">
        <v>41</v>
      </c>
    </row>
    <row r="23" spans="1:8" ht="15.75" thickBot="1" x14ac:dyDescent="0.3">
      <c r="A23" s="12" t="s">
        <v>33</v>
      </c>
      <c r="B23" s="13">
        <v>293</v>
      </c>
      <c r="C23" s="14">
        <v>503</v>
      </c>
      <c r="D23" s="13">
        <v>319</v>
      </c>
      <c r="E23" s="14">
        <v>596</v>
      </c>
    </row>
    <row r="24" spans="1:8" ht="15.75" thickBot="1" x14ac:dyDescent="0.3">
      <c r="A24" s="12" t="s">
        <v>34</v>
      </c>
      <c r="B24" s="13">
        <v>333</v>
      </c>
      <c r="C24" s="14">
        <v>503</v>
      </c>
      <c r="D24" s="13">
        <v>379</v>
      </c>
      <c r="E24" s="14">
        <v>596</v>
      </c>
    </row>
    <row r="25" spans="1:8" ht="15.75" thickBot="1" x14ac:dyDescent="0.3">
      <c r="A25" s="12" t="s">
        <v>35</v>
      </c>
      <c r="B25" s="13">
        <v>373</v>
      </c>
      <c r="C25" s="14">
        <v>503</v>
      </c>
      <c r="D25" s="13">
        <v>439</v>
      </c>
      <c r="E25" s="14">
        <v>596</v>
      </c>
    </row>
    <row r="26" spans="1:8" ht="15.75" thickBot="1" x14ac:dyDescent="0.3">
      <c r="A26" s="12" t="s">
        <v>36</v>
      </c>
      <c r="B26" s="13">
        <v>413</v>
      </c>
      <c r="C26" s="14">
        <v>503</v>
      </c>
      <c r="D26" s="13">
        <v>499</v>
      </c>
      <c r="E26" s="14">
        <v>596</v>
      </c>
    </row>
    <row r="27" spans="1:8" ht="15.75" thickBot="1" x14ac:dyDescent="0.3">
      <c r="A27" s="12" t="s">
        <v>37</v>
      </c>
      <c r="B27" s="13">
        <v>453</v>
      </c>
      <c r="C27" s="14">
        <v>503</v>
      </c>
      <c r="D27" s="13">
        <v>559</v>
      </c>
      <c r="E27" s="14">
        <v>596</v>
      </c>
    </row>
    <row r="28" spans="1:8" ht="15.75" thickBot="1" x14ac:dyDescent="0.3"/>
    <row r="29" spans="1:8" ht="15.75" thickBot="1" x14ac:dyDescent="0.3">
      <c r="A29" s="10"/>
      <c r="B29" s="11" t="s">
        <v>0</v>
      </c>
      <c r="C29" s="11" t="s">
        <v>1</v>
      </c>
      <c r="D29" s="11" t="s">
        <v>2</v>
      </c>
      <c r="E29" s="11" t="s">
        <v>3</v>
      </c>
    </row>
    <row r="30" spans="1:8" ht="15.75" thickBot="1" x14ac:dyDescent="0.3">
      <c r="A30" s="12" t="s">
        <v>33</v>
      </c>
      <c r="B30" s="22">
        <v>54.999998715624024</v>
      </c>
      <c r="C30" s="23">
        <v>30.000000757975485</v>
      </c>
      <c r="D30" s="22">
        <v>85.000000415098057</v>
      </c>
      <c r="E30" s="23">
        <v>30.000000111302459</v>
      </c>
    </row>
    <row r="31" spans="1:8" ht="15.75" thickBot="1" x14ac:dyDescent="0.3">
      <c r="A31" s="12" t="s">
        <v>34</v>
      </c>
      <c r="B31" s="22">
        <v>33.019904656506846</v>
      </c>
      <c r="C31" s="23">
        <v>26.8421051677444</v>
      </c>
      <c r="D31" s="22">
        <v>112.41935897805138</v>
      </c>
      <c r="E31" s="23">
        <v>27.71863119769742</v>
      </c>
    </row>
    <row r="32" spans="1:8" ht="15.75" thickBot="1" x14ac:dyDescent="0.3">
      <c r="A32" s="12" t="s">
        <v>35</v>
      </c>
      <c r="B32" s="22">
        <v>11.039812724938441</v>
      </c>
      <c r="C32" s="23">
        <v>23.684210054652699</v>
      </c>
      <c r="D32" s="22">
        <v>139.83871467436919</v>
      </c>
      <c r="E32" s="23">
        <v>25.437262546039697</v>
      </c>
    </row>
    <row r="33" spans="1:5" ht="15.75" thickBot="1" x14ac:dyDescent="0.3">
      <c r="A33" s="12" t="s">
        <v>36</v>
      </c>
      <c r="B33" s="22">
        <v>0</v>
      </c>
      <c r="C33" s="23">
        <v>19.953167049885639</v>
      </c>
      <c r="D33" s="22">
        <v>157.30500095770583</v>
      </c>
      <c r="E33" s="23">
        <v>22.741831992408567</v>
      </c>
    </row>
    <row r="34" spans="1:5" ht="15.75" thickBot="1" x14ac:dyDescent="0.3">
      <c r="A34" s="12" t="s">
        <v>37</v>
      </c>
      <c r="B34" s="22">
        <v>0</v>
      </c>
      <c r="C34" s="23">
        <v>15.643761419991298</v>
      </c>
      <c r="D34" s="22">
        <v>164.72766641706917</v>
      </c>
      <c r="E34" s="23">
        <v>19.628572162939562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0ED6-7804-4D9B-94E0-8C0D97254713}">
  <dimension ref="A1:R34"/>
  <sheetViews>
    <sheetView workbookViewId="0">
      <selection activeCell="A29" sqref="A29:E34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8" x14ac:dyDescent="0.25">
      <c r="A1" s="24" t="s">
        <v>45</v>
      </c>
      <c r="B1" s="25"/>
      <c r="C1" s="25"/>
      <c r="D1" s="25"/>
      <c r="E1" s="25"/>
      <c r="F1" s="25"/>
      <c r="G1" s="25"/>
      <c r="H1" s="25"/>
    </row>
    <row r="2" spans="1:18" x14ac:dyDescent="0.25">
      <c r="A2" t="s">
        <v>9</v>
      </c>
    </row>
    <row r="3" spans="1:18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H3" t="s">
        <v>11</v>
      </c>
      <c r="K3" s="1" t="s">
        <v>31</v>
      </c>
      <c r="L3" s="1"/>
      <c r="M3" s="1"/>
      <c r="N3" s="1"/>
    </row>
    <row r="4" spans="1:18" x14ac:dyDescent="0.25">
      <c r="A4" t="s">
        <v>12</v>
      </c>
      <c r="B4" s="5">
        <v>21.545951151419711</v>
      </c>
      <c r="C4" s="5">
        <v>7.8803689153522862</v>
      </c>
      <c r="D4" s="5">
        <v>156.6958635393211</v>
      </c>
      <c r="E4" s="5">
        <v>13.877817979758222</v>
      </c>
      <c r="K4" s="1" t="s">
        <v>0</v>
      </c>
      <c r="L4" s="1">
        <v>55</v>
      </c>
      <c r="M4" s="1"/>
      <c r="N4" s="1"/>
    </row>
    <row r="5" spans="1:18" x14ac:dyDescent="0.25">
      <c r="K5" s="1" t="s">
        <v>1</v>
      </c>
      <c r="L5" s="1">
        <v>30</v>
      </c>
      <c r="M5" s="1"/>
      <c r="N5" s="1"/>
    </row>
    <row r="6" spans="1:18" x14ac:dyDescent="0.25">
      <c r="A6" t="s">
        <v>13</v>
      </c>
      <c r="K6" s="1" t="s">
        <v>2</v>
      </c>
      <c r="L6" s="1">
        <v>85</v>
      </c>
      <c r="M6" s="1"/>
      <c r="N6" s="1"/>
    </row>
    <row r="7" spans="1:18" x14ac:dyDescent="0.25">
      <c r="A7" t="s">
        <v>14</v>
      </c>
      <c r="B7" s="8">
        <f>B8-B9</f>
        <v>413</v>
      </c>
      <c r="C7" s="8">
        <f t="shared" ref="C7:E7" si="0">C8-C9</f>
        <v>443</v>
      </c>
      <c r="D7" s="8">
        <f t="shared" si="0"/>
        <v>524</v>
      </c>
      <c r="E7" s="8">
        <f t="shared" si="0"/>
        <v>516</v>
      </c>
      <c r="F7" s="3">
        <f>SUMPRODUCT($B$4:$E$4,B7:E7)</f>
        <v>101659.06782719691</v>
      </c>
      <c r="K7" s="1" t="s">
        <v>3</v>
      </c>
      <c r="L7" s="1">
        <f>H16-SUM(L4:L6)</f>
        <v>30</v>
      </c>
      <c r="M7" s="1"/>
      <c r="N7" s="1"/>
    </row>
    <row r="8" spans="1:18" x14ac:dyDescent="0.25">
      <c r="A8" t="s">
        <v>15</v>
      </c>
      <c r="B8" s="1">
        <v>453</v>
      </c>
      <c r="C8" s="1">
        <v>503</v>
      </c>
      <c r="D8" s="1">
        <v>559</v>
      </c>
      <c r="E8" s="1">
        <v>596</v>
      </c>
      <c r="F8" s="3">
        <f>SUMPRODUCT($B$4:$E$4,B8:E8)</f>
        <v>109588.30867043172</v>
      </c>
    </row>
    <row r="9" spans="1:18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-7929.240843234822</v>
      </c>
    </row>
    <row r="10" spans="1:18" x14ac:dyDescent="0.25">
      <c r="A10" t="s">
        <v>17</v>
      </c>
      <c r="B10" s="3">
        <f>-0.5*B4*N11*B4</f>
        <v>-168.81018582522341</v>
      </c>
      <c r="C10" s="3">
        <f>-0.5*C4*O12*C4</f>
        <v>-258.75089267521071</v>
      </c>
      <c r="D10" s="3">
        <f>-0.5*D4*P13*D4</f>
        <v>-9532.5716524824329</v>
      </c>
      <c r="E10" s="3">
        <f>-0.5*E4*Q14*E4</f>
        <v>-1100.9947389100016</v>
      </c>
      <c r="F10" s="3">
        <f>SUM(B10:E10)</f>
        <v>-11061.127469892868</v>
      </c>
      <c r="K10" t="s">
        <v>19</v>
      </c>
      <c r="M10" t="s">
        <v>20</v>
      </c>
      <c r="N10" t="s">
        <v>0</v>
      </c>
      <c r="O10" t="s">
        <v>1</v>
      </c>
      <c r="P10" t="s">
        <v>2</v>
      </c>
      <c r="Q10" t="s">
        <v>3</v>
      </c>
      <c r="R10" s="16" t="s">
        <v>21</v>
      </c>
    </row>
    <row r="11" spans="1:18" x14ac:dyDescent="0.25">
      <c r="A11" t="s">
        <v>22</v>
      </c>
      <c r="B11" s="3">
        <f>-R11</f>
        <v>0</v>
      </c>
      <c r="C11" s="3">
        <f>-R12</f>
        <v>0</v>
      </c>
      <c r="D11" s="3">
        <f>-R13</f>
        <v>0</v>
      </c>
      <c r="E11" s="3">
        <f>-R14</f>
        <v>0</v>
      </c>
      <c r="F11" s="3">
        <f>SUMPRODUCT(B4:E4,B11:E11)</f>
        <v>0</v>
      </c>
      <c r="K11" t="s">
        <v>0</v>
      </c>
      <c r="L11" s="3">
        <v>0</v>
      </c>
      <c r="M11" s="9"/>
      <c r="N11" s="4">
        <f>(B9+L11)/L4</f>
        <v>0.72727272727272729</v>
      </c>
      <c r="O11" s="9"/>
      <c r="P11" s="9"/>
      <c r="Q11" s="9"/>
      <c r="R11" s="3">
        <v>0</v>
      </c>
    </row>
    <row r="12" spans="1:18" x14ac:dyDescent="0.25">
      <c r="A12" t="s">
        <v>23</v>
      </c>
      <c r="F12" s="4">
        <f>SUM(F8,F10:F11)</f>
        <v>98527.181200538849</v>
      </c>
      <c r="H12" t="s">
        <v>18</v>
      </c>
      <c r="K12" t="s">
        <v>1</v>
      </c>
      <c r="L12" s="3">
        <v>190</v>
      </c>
      <c r="M12" s="9"/>
      <c r="N12" s="9"/>
      <c r="O12" s="4">
        <f>(C9+L12)/L5</f>
        <v>8.3333333333333339</v>
      </c>
      <c r="P12" s="9"/>
      <c r="Q12" s="9"/>
      <c r="R12" s="3">
        <v>0</v>
      </c>
    </row>
    <row r="13" spans="1:18" x14ac:dyDescent="0.25">
      <c r="K13" t="s">
        <v>2</v>
      </c>
      <c r="L13" s="3">
        <v>31</v>
      </c>
      <c r="M13" s="9"/>
      <c r="N13" s="9"/>
      <c r="O13" s="9"/>
      <c r="P13" s="4">
        <f>(D9+L13)/L6</f>
        <v>0.77647058823529413</v>
      </c>
      <c r="Q13" s="9"/>
      <c r="R13" s="3">
        <v>0</v>
      </c>
    </row>
    <row r="14" spans="1:18" x14ac:dyDescent="0.25">
      <c r="K14" t="s">
        <v>3</v>
      </c>
      <c r="L14" s="3">
        <v>263</v>
      </c>
      <c r="M14" s="9"/>
      <c r="N14" s="9"/>
      <c r="O14" s="9"/>
      <c r="P14" s="9"/>
      <c r="Q14" s="4">
        <f>(E9+L14)/L7</f>
        <v>11.433333333333334</v>
      </c>
      <c r="R14" s="3">
        <v>0</v>
      </c>
    </row>
    <row r="15" spans="1:18" x14ac:dyDescent="0.25">
      <c r="A15" t="s">
        <v>5</v>
      </c>
    </row>
    <row r="16" spans="1:18" x14ac:dyDescent="0.25">
      <c r="A16" t="s">
        <v>24</v>
      </c>
      <c r="B16">
        <v>1</v>
      </c>
      <c r="C16">
        <v>1</v>
      </c>
      <c r="D16">
        <v>1</v>
      </c>
      <c r="E16">
        <v>1</v>
      </c>
      <c r="F16" s="4">
        <f t="shared" ref="F16:F17" si="1">SUMPRODUCT($B$4:$E$4,B16:E16)</f>
        <v>200.00000158585132</v>
      </c>
      <c r="G16" s="7" t="s">
        <v>30</v>
      </c>
      <c r="H16">
        <v>200</v>
      </c>
    </row>
    <row r="17" spans="1:8" x14ac:dyDescent="0.25">
      <c r="A17" t="s">
        <v>25</v>
      </c>
      <c r="B17">
        <v>25</v>
      </c>
      <c r="C17">
        <v>36</v>
      </c>
      <c r="D17">
        <v>27</v>
      </c>
      <c r="E17">
        <v>87</v>
      </c>
      <c r="F17" s="4">
        <f t="shared" si="1"/>
        <v>6260.5005395388098</v>
      </c>
      <c r="G17" s="7" t="s">
        <v>30</v>
      </c>
      <c r="H17">
        <v>10000</v>
      </c>
    </row>
    <row r="21" spans="1:8" ht="15.75" thickBot="1" x14ac:dyDescent="0.3"/>
    <row r="22" spans="1:8" ht="15.75" thickBot="1" x14ac:dyDescent="0.3">
      <c r="A22" s="10"/>
      <c r="B22" s="11" t="s">
        <v>38</v>
      </c>
      <c r="C22" s="11" t="s">
        <v>39</v>
      </c>
      <c r="D22" s="11" t="s">
        <v>40</v>
      </c>
      <c r="E22" s="11" t="s">
        <v>41</v>
      </c>
    </row>
    <row r="23" spans="1:8" ht="15.75" thickBot="1" x14ac:dyDescent="0.3">
      <c r="A23" s="12" t="s">
        <v>33</v>
      </c>
      <c r="B23" s="13">
        <v>293</v>
      </c>
      <c r="C23" s="14">
        <v>503</v>
      </c>
      <c r="D23" s="13">
        <v>319</v>
      </c>
      <c r="E23" s="14">
        <v>596</v>
      </c>
    </row>
    <row r="24" spans="1:8" ht="15.75" thickBot="1" x14ac:dyDescent="0.3">
      <c r="A24" s="12" t="s">
        <v>34</v>
      </c>
      <c r="B24" s="13">
        <v>333</v>
      </c>
      <c r="C24" s="14">
        <v>503</v>
      </c>
      <c r="D24" s="13">
        <v>379</v>
      </c>
      <c r="E24" s="14">
        <v>596</v>
      </c>
    </row>
    <row r="25" spans="1:8" ht="15.75" thickBot="1" x14ac:dyDescent="0.3">
      <c r="A25" s="12" t="s">
        <v>35</v>
      </c>
      <c r="B25" s="13">
        <v>373</v>
      </c>
      <c r="C25" s="14">
        <v>503</v>
      </c>
      <c r="D25" s="13">
        <v>439</v>
      </c>
      <c r="E25" s="14">
        <v>596</v>
      </c>
    </row>
    <row r="26" spans="1:8" ht="15.75" thickBot="1" x14ac:dyDescent="0.3">
      <c r="A26" s="12" t="s">
        <v>36</v>
      </c>
      <c r="B26" s="13">
        <v>413</v>
      </c>
      <c r="C26" s="14">
        <v>503</v>
      </c>
      <c r="D26" s="13">
        <v>499</v>
      </c>
      <c r="E26" s="14">
        <v>596</v>
      </c>
    </row>
    <row r="27" spans="1:8" ht="15.75" thickBot="1" x14ac:dyDescent="0.3">
      <c r="A27" s="12" t="s">
        <v>37</v>
      </c>
      <c r="B27" s="13">
        <v>453</v>
      </c>
      <c r="C27" s="14">
        <v>503</v>
      </c>
      <c r="D27" s="13">
        <v>559</v>
      </c>
      <c r="E27" s="14">
        <v>596</v>
      </c>
    </row>
    <row r="28" spans="1:8" ht="15.75" thickBot="1" x14ac:dyDescent="0.3"/>
    <row r="29" spans="1:8" ht="15.75" thickBot="1" x14ac:dyDescent="0.3">
      <c r="A29" s="10"/>
      <c r="B29" s="11" t="s">
        <v>0</v>
      </c>
      <c r="C29" s="11" t="s">
        <v>1</v>
      </c>
      <c r="D29" s="11" t="s">
        <v>2</v>
      </c>
      <c r="E29" s="11" t="s">
        <v>3</v>
      </c>
    </row>
    <row r="30" spans="1:8" ht="15.75" thickBot="1" x14ac:dyDescent="0.3">
      <c r="A30" s="12" t="s">
        <v>33</v>
      </c>
      <c r="B30" s="22">
        <v>55.000012065101103</v>
      </c>
      <c r="C30" s="23">
        <v>29.999988699797015</v>
      </c>
      <c r="D30" s="22">
        <v>84.999999951526846</v>
      </c>
      <c r="E30" s="23">
        <v>29.999999283575022</v>
      </c>
    </row>
    <row r="31" spans="1:8" ht="15.75" thickBot="1" x14ac:dyDescent="0.3">
      <c r="A31" s="12" t="s">
        <v>34</v>
      </c>
      <c r="B31" s="22">
        <v>46.636536133297035</v>
      </c>
      <c r="C31" s="23">
        <v>24.470086052355278</v>
      </c>
      <c r="D31" s="22">
        <v>102.92392963917504</v>
      </c>
      <c r="E31" s="23">
        <v>25.969447782882035</v>
      </c>
    </row>
    <row r="32" spans="1:8" ht="15.75" thickBot="1" x14ac:dyDescent="0.3">
      <c r="A32" s="12" t="s">
        <v>35</v>
      </c>
      <c r="B32" s="22">
        <v>38.273013245695786</v>
      </c>
      <c r="C32" s="23">
        <v>18.940179772610598</v>
      </c>
      <c r="D32" s="22">
        <v>120.84790808179672</v>
      </c>
      <c r="E32" s="23">
        <v>21.938898820991081</v>
      </c>
    </row>
    <row r="33" spans="1:5" ht="15.75" thickBot="1" x14ac:dyDescent="0.3">
      <c r="A33" s="12" t="s">
        <v>36</v>
      </c>
      <c r="B33" s="22">
        <v>29.909508190189349</v>
      </c>
      <c r="C33" s="23">
        <v>13.410271606813057</v>
      </c>
      <c r="D33" s="22">
        <v>138.77186188730948</v>
      </c>
      <c r="E33" s="23">
        <v>17.908358781987207</v>
      </c>
    </row>
    <row r="34" spans="1:5" ht="15.75" thickBot="1" x14ac:dyDescent="0.3">
      <c r="A34" s="12" t="s">
        <v>37</v>
      </c>
      <c r="B34" s="22">
        <v>21.545951151419711</v>
      </c>
      <c r="C34" s="23">
        <v>7.8803689153522862</v>
      </c>
      <c r="D34" s="22">
        <v>156.6958635393211</v>
      </c>
      <c r="E34" s="23">
        <v>13.877817979758222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DACE-76D4-4860-AA22-0347E421F84E}">
  <dimension ref="A1:S34"/>
  <sheetViews>
    <sheetView tabSelected="1" topLeftCell="A4" workbookViewId="0">
      <selection activeCell="E27" sqref="A22:E27"/>
    </sheetView>
  </sheetViews>
  <sheetFormatPr defaultRowHeight="15" x14ac:dyDescent="0.25"/>
  <cols>
    <col min="1" max="1" width="28.28515625" bestFit="1" customWidth="1"/>
    <col min="4" max="4" width="10.42578125" bestFit="1" customWidth="1"/>
    <col min="5" max="5" width="10.85546875" bestFit="1" customWidth="1"/>
    <col min="7" max="7" width="3.140625" customWidth="1"/>
    <col min="11" max="11" width="10" bestFit="1" customWidth="1"/>
    <col min="16" max="16" width="9.7109375" bestFit="1" customWidth="1"/>
    <col min="17" max="17" width="10" bestFit="1" customWidth="1"/>
  </cols>
  <sheetData>
    <row r="1" spans="1:19" x14ac:dyDescent="0.25">
      <c r="A1" s="24" t="s">
        <v>46</v>
      </c>
      <c r="B1" s="25"/>
      <c r="C1" s="25"/>
      <c r="D1" s="25"/>
      <c r="E1" s="25"/>
      <c r="F1" s="25"/>
      <c r="G1" s="25"/>
      <c r="H1" s="25"/>
    </row>
    <row r="2" spans="1:19" x14ac:dyDescent="0.25">
      <c r="A2" t="s">
        <v>9</v>
      </c>
    </row>
    <row r="3" spans="1:19" x14ac:dyDescent="0.25">
      <c r="B3" t="s">
        <v>0</v>
      </c>
      <c r="C3" t="s">
        <v>1</v>
      </c>
      <c r="D3" t="s">
        <v>2</v>
      </c>
      <c r="E3" t="s">
        <v>3</v>
      </c>
      <c r="F3" t="s">
        <v>10</v>
      </c>
      <c r="H3" t="s">
        <v>11</v>
      </c>
      <c r="K3" s="1" t="s">
        <v>31</v>
      </c>
      <c r="L3" s="1"/>
      <c r="M3" s="1"/>
      <c r="N3" s="1"/>
    </row>
    <row r="4" spans="1:19" x14ac:dyDescent="0.25">
      <c r="A4" t="s">
        <v>12</v>
      </c>
      <c r="B4" s="5">
        <v>59.67069212955731</v>
      </c>
      <c r="C4" s="5">
        <v>18.553908407315365</v>
      </c>
      <c r="D4" s="5">
        <v>96.92744582294479</v>
      </c>
      <c r="E4" s="5">
        <v>24.847953640055398</v>
      </c>
      <c r="K4" s="1" t="s">
        <v>0</v>
      </c>
      <c r="L4" s="1">
        <v>55</v>
      </c>
      <c r="M4" s="1"/>
      <c r="N4" s="1"/>
    </row>
    <row r="5" spans="1:19" x14ac:dyDescent="0.25">
      <c r="K5" s="1" t="s">
        <v>1</v>
      </c>
      <c r="L5" s="1">
        <v>30</v>
      </c>
      <c r="M5" s="1"/>
      <c r="N5" s="1"/>
    </row>
    <row r="6" spans="1:19" x14ac:dyDescent="0.25">
      <c r="A6" t="s">
        <v>13</v>
      </c>
      <c r="K6" s="1" t="s">
        <v>2</v>
      </c>
      <c r="L6" s="1">
        <v>85</v>
      </c>
      <c r="M6" s="1"/>
      <c r="N6" s="1"/>
    </row>
    <row r="7" spans="1:19" x14ac:dyDescent="0.25">
      <c r="A7" t="s">
        <v>14</v>
      </c>
      <c r="B7" s="8">
        <f>B8-B9</f>
        <v>413</v>
      </c>
      <c r="C7" s="8">
        <f t="shared" ref="C7:E7" si="0">C8-C9</f>
        <v>443</v>
      </c>
      <c r="D7" s="8">
        <f t="shared" si="0"/>
        <v>524</v>
      </c>
      <c r="E7" s="8">
        <f t="shared" si="0"/>
        <v>516</v>
      </c>
      <c r="F7" s="3">
        <f>SUMPRODUCT($B$4:$E$4,B7:E7)</f>
        <v>96474.902963439541</v>
      </c>
      <c r="K7" s="1" t="s">
        <v>3</v>
      </c>
      <c r="L7" s="1">
        <f>H16-SUM(L4:L6)</f>
        <v>30</v>
      </c>
      <c r="M7" s="1"/>
      <c r="N7" s="1"/>
    </row>
    <row r="8" spans="1:19" x14ac:dyDescent="0.25">
      <c r="A8" t="s">
        <v>15</v>
      </c>
      <c r="B8" s="1">
        <v>453</v>
      </c>
      <c r="C8" s="1">
        <v>503</v>
      </c>
      <c r="D8" s="1">
        <v>559</v>
      </c>
      <c r="E8" s="1">
        <v>596</v>
      </c>
      <c r="F8" s="3">
        <f>SUMPRODUCT($B$4:$E$4,B8:E8)</f>
        <v>105355.26204806825</v>
      </c>
    </row>
    <row r="9" spans="1:19" x14ac:dyDescent="0.25">
      <c r="A9" t="s">
        <v>16</v>
      </c>
      <c r="B9" s="8">
        <v>40</v>
      </c>
      <c r="C9" s="8">
        <v>60</v>
      </c>
      <c r="D9" s="8">
        <v>35</v>
      </c>
      <c r="E9" s="8">
        <v>80</v>
      </c>
      <c r="F9" s="3">
        <f>-SUMPRODUCT($B$4:$E$4,B9:E9)</f>
        <v>-8880.3590846287134</v>
      </c>
    </row>
    <row r="10" spans="1:19" x14ac:dyDescent="0.25">
      <c r="A10" t="s">
        <v>17</v>
      </c>
      <c r="B10" s="3">
        <f>-0.5*B4*N11*B4</f>
        <v>-12219.30264505187</v>
      </c>
      <c r="C10" s="3">
        <f>-0.5*C4*O12*C4</f>
        <v>-1923.9611238342782</v>
      </c>
      <c r="D10" s="3">
        <f>-0.5*D4*P13*D4</f>
        <v>-44132.485145813305</v>
      </c>
      <c r="E10" s="3">
        <f>-0.5*E4*Q14*E4</f>
        <v>-7666.308267887749</v>
      </c>
      <c r="F10" s="3">
        <f>SUM(B10:E10)</f>
        <v>-65942.057182587203</v>
      </c>
      <c r="K10" t="s">
        <v>19</v>
      </c>
      <c r="M10" t="s">
        <v>20</v>
      </c>
      <c r="N10" t="s">
        <v>0</v>
      </c>
      <c r="O10" t="s">
        <v>1</v>
      </c>
      <c r="P10" t="s">
        <v>2</v>
      </c>
      <c r="Q10" t="s">
        <v>3</v>
      </c>
      <c r="R10" s="16" t="s">
        <v>21</v>
      </c>
      <c r="S10" s="15" t="s">
        <v>42</v>
      </c>
    </row>
    <row r="11" spans="1:19" x14ac:dyDescent="0.25">
      <c r="A11" t="s">
        <v>22</v>
      </c>
      <c r="B11" s="3">
        <f>-R11</f>
        <v>337.5</v>
      </c>
      <c r="C11" s="3">
        <f>-R12</f>
        <v>85.333333333333314</v>
      </c>
      <c r="D11" s="3">
        <f>-R13</f>
        <v>732.57142857142856</v>
      </c>
      <c r="E11" s="3">
        <f>-R14</f>
        <v>402</v>
      </c>
      <c r="F11" s="3">
        <f>SUMPRODUCT(B4:E4,B11:E11)</f>
        <v>102717.28026207985</v>
      </c>
      <c r="K11" t="s">
        <v>0</v>
      </c>
      <c r="L11" s="3">
        <v>0</v>
      </c>
      <c r="M11" s="9"/>
      <c r="N11" s="4">
        <f>B8/(S11*L4)</f>
        <v>6.8636363636363633</v>
      </c>
      <c r="O11" s="9"/>
      <c r="P11" s="9"/>
      <c r="Q11" s="9"/>
      <c r="R11" s="3">
        <f>B9+L11-N11*L4</f>
        <v>-337.5</v>
      </c>
      <c r="S11" s="1">
        <v>1.2</v>
      </c>
    </row>
    <row r="12" spans="1:19" x14ac:dyDescent="0.25">
      <c r="A12" t="s">
        <v>23</v>
      </c>
      <c r="F12" s="4">
        <f>SUM(F8,F10:F11)</f>
        <v>142130.48512756091</v>
      </c>
      <c r="H12" t="s">
        <v>18</v>
      </c>
      <c r="K12" t="s">
        <v>1</v>
      </c>
      <c r="L12" s="3">
        <v>190</v>
      </c>
      <c r="M12" s="9"/>
      <c r="N12" s="9"/>
      <c r="O12" s="4">
        <f>C8/(S12*L5)</f>
        <v>11.177777777777777</v>
      </c>
      <c r="P12" s="9"/>
      <c r="Q12" s="9"/>
      <c r="R12" s="3">
        <f>C9+L12-O12*L5</f>
        <v>-85.333333333333314</v>
      </c>
      <c r="S12" s="1">
        <v>1.5</v>
      </c>
    </row>
    <row r="13" spans="1:19" x14ac:dyDescent="0.25">
      <c r="K13" t="s">
        <v>2</v>
      </c>
      <c r="L13" s="3">
        <v>31</v>
      </c>
      <c r="M13" s="9"/>
      <c r="N13" s="9"/>
      <c r="O13" s="9"/>
      <c r="P13" s="4">
        <f>D8/(S13*L6)</f>
        <v>9.3949579831932777</v>
      </c>
      <c r="Q13" s="9"/>
      <c r="R13" s="3">
        <f>D9+L13-P13*L6</f>
        <v>-732.57142857142856</v>
      </c>
      <c r="S13" s="1">
        <v>0.7</v>
      </c>
    </row>
    <row r="14" spans="1:19" x14ac:dyDescent="0.25">
      <c r="K14" t="s">
        <v>3</v>
      </c>
      <c r="L14" s="3">
        <v>263</v>
      </c>
      <c r="M14" s="9"/>
      <c r="N14" s="9"/>
      <c r="O14" s="9"/>
      <c r="P14" s="9"/>
      <c r="Q14" s="4">
        <f>E8/(S14*L7)</f>
        <v>24.833333333333332</v>
      </c>
      <c r="R14" s="3">
        <f>E9+L14-Q14*L7</f>
        <v>-402</v>
      </c>
      <c r="S14" s="1">
        <v>0.8</v>
      </c>
    </row>
    <row r="15" spans="1:19" x14ac:dyDescent="0.25">
      <c r="A15" t="s">
        <v>5</v>
      </c>
    </row>
    <row r="16" spans="1:19" x14ac:dyDescent="0.25">
      <c r="A16" t="s">
        <v>24</v>
      </c>
      <c r="B16">
        <v>1</v>
      </c>
      <c r="C16">
        <v>1</v>
      </c>
      <c r="D16">
        <v>1</v>
      </c>
      <c r="E16">
        <v>1</v>
      </c>
      <c r="F16" s="4">
        <f t="shared" ref="F16:F17" si="1">SUMPRODUCT($B$4:$E$4,B16:E16)</f>
        <v>199.99999999987287</v>
      </c>
      <c r="G16" s="7" t="s">
        <v>30</v>
      </c>
      <c r="H16">
        <v>200</v>
      </c>
    </row>
    <row r="17" spans="1:8" x14ac:dyDescent="0.25">
      <c r="A17" t="s">
        <v>25</v>
      </c>
      <c r="B17">
        <v>25</v>
      </c>
      <c r="C17">
        <v>36</v>
      </c>
      <c r="D17">
        <v>27</v>
      </c>
      <c r="E17">
        <v>87</v>
      </c>
      <c r="F17" s="4">
        <f t="shared" si="1"/>
        <v>6938.5210098066154</v>
      </c>
      <c r="G17" s="7" t="s">
        <v>30</v>
      </c>
      <c r="H17">
        <v>10000</v>
      </c>
    </row>
    <row r="21" spans="1:8" ht="15.75" thickBot="1" x14ac:dyDescent="0.3"/>
    <row r="22" spans="1:8" ht="15.75" thickBot="1" x14ac:dyDescent="0.3">
      <c r="A22" s="10"/>
      <c r="B22" s="11" t="s">
        <v>38</v>
      </c>
      <c r="C22" s="11" t="s">
        <v>39</v>
      </c>
      <c r="D22" s="11" t="s">
        <v>40</v>
      </c>
      <c r="E22" s="11" t="s">
        <v>41</v>
      </c>
    </row>
    <row r="23" spans="1:8" ht="15.75" thickBot="1" x14ac:dyDescent="0.3">
      <c r="A23" s="12" t="s">
        <v>33</v>
      </c>
      <c r="B23" s="13">
        <v>293</v>
      </c>
      <c r="C23" s="14">
        <v>503</v>
      </c>
      <c r="D23" s="13">
        <v>319</v>
      </c>
      <c r="E23" s="14">
        <v>596</v>
      </c>
    </row>
    <row r="24" spans="1:8" ht="15.75" thickBot="1" x14ac:dyDescent="0.3">
      <c r="A24" s="12" t="s">
        <v>34</v>
      </c>
      <c r="B24" s="13">
        <v>333</v>
      </c>
      <c r="C24" s="14">
        <v>503</v>
      </c>
      <c r="D24" s="13">
        <v>379</v>
      </c>
      <c r="E24" s="14">
        <v>596</v>
      </c>
    </row>
    <row r="25" spans="1:8" ht="15.75" thickBot="1" x14ac:dyDescent="0.3">
      <c r="A25" s="12" t="s">
        <v>35</v>
      </c>
      <c r="B25" s="13">
        <v>373</v>
      </c>
      <c r="C25" s="14">
        <v>503</v>
      </c>
      <c r="D25" s="13">
        <v>439</v>
      </c>
      <c r="E25" s="14">
        <v>596</v>
      </c>
    </row>
    <row r="26" spans="1:8" ht="15.75" thickBot="1" x14ac:dyDescent="0.3">
      <c r="A26" s="12" t="s">
        <v>36</v>
      </c>
      <c r="B26" s="13">
        <v>413</v>
      </c>
      <c r="C26" s="14">
        <v>503</v>
      </c>
      <c r="D26" s="13">
        <v>499</v>
      </c>
      <c r="E26" s="14">
        <v>596</v>
      </c>
    </row>
    <row r="27" spans="1:8" ht="15.75" thickBot="1" x14ac:dyDescent="0.3">
      <c r="A27" s="12" t="s">
        <v>37</v>
      </c>
      <c r="B27" s="13">
        <v>453</v>
      </c>
      <c r="C27" s="14">
        <v>503</v>
      </c>
      <c r="D27" s="13">
        <v>559</v>
      </c>
      <c r="E27" s="14">
        <v>596</v>
      </c>
    </row>
    <row r="28" spans="1:8" ht="15.75" thickBot="1" x14ac:dyDescent="0.3"/>
    <row r="29" spans="1:8" ht="15.75" thickBot="1" x14ac:dyDescent="0.3">
      <c r="A29" s="10"/>
      <c r="B29" s="11" t="s">
        <v>0</v>
      </c>
      <c r="C29" s="11" t="s">
        <v>1</v>
      </c>
      <c r="D29" s="11" t="s">
        <v>2</v>
      </c>
      <c r="E29" s="11" t="s">
        <v>3</v>
      </c>
    </row>
    <row r="30" spans="1:8" ht="15.75" thickBot="1" x14ac:dyDescent="0.3">
      <c r="A30" s="12" t="s">
        <v>33</v>
      </c>
      <c r="B30" s="22">
        <v>55.000001656497986</v>
      </c>
      <c r="C30" s="23">
        <v>29.999999715077031</v>
      </c>
      <c r="D30" s="22">
        <v>84.99999977596687</v>
      </c>
      <c r="E30" s="23">
        <v>29.999998852458134</v>
      </c>
    </row>
    <row r="31" spans="1:8" ht="15.75" thickBot="1" x14ac:dyDescent="0.3">
      <c r="A31" s="12" t="s">
        <v>34</v>
      </c>
      <c r="B31" s="22">
        <v>55.837672377648111</v>
      </c>
      <c r="C31" s="23">
        <v>26.799572788910485</v>
      </c>
      <c r="D31" s="22">
        <v>88.80332205666808</v>
      </c>
      <c r="E31" s="23">
        <v>28.559432793950347</v>
      </c>
    </row>
    <row r="32" spans="1:8" ht="15.75" thickBot="1" x14ac:dyDescent="0.3">
      <c r="A32" s="12" t="s">
        <v>35</v>
      </c>
      <c r="B32" s="22">
        <v>56.983532921902331</v>
      </c>
      <c r="C32" s="23">
        <v>23.845821556280185</v>
      </c>
      <c r="D32" s="22">
        <v>91.940733675933359</v>
      </c>
      <c r="E32" s="23">
        <v>27.229911680495466</v>
      </c>
    </row>
    <row r="33" spans="1:5" ht="15.75" thickBot="1" x14ac:dyDescent="0.3">
      <c r="A33" s="12" t="s">
        <v>36</v>
      </c>
      <c r="B33" s="22">
        <v>58.289167959498684</v>
      </c>
      <c r="C33" s="23">
        <v>21.105769124019812</v>
      </c>
      <c r="D33" s="22">
        <v>94.608482495864322</v>
      </c>
      <c r="E33" s="23">
        <v>25.996580373800739</v>
      </c>
    </row>
    <row r="34" spans="1:5" ht="15.75" thickBot="1" x14ac:dyDescent="0.3">
      <c r="A34" s="12" t="s">
        <v>37</v>
      </c>
      <c r="B34" s="22">
        <v>59.67069212955731</v>
      </c>
      <c r="C34" s="23">
        <v>18.553908407315365</v>
      </c>
      <c r="D34" s="22">
        <v>96.92744582294479</v>
      </c>
      <c r="E34" s="23">
        <v>24.847953640055398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LP</vt:lpstr>
      <vt:lpstr>Sensitivity Report 1</vt:lpstr>
      <vt:lpstr>PMP reveal dual values</vt:lpstr>
      <vt:lpstr>PMP1_Standard</vt:lpstr>
      <vt:lpstr>PMP2_Average_cost</vt:lpstr>
      <vt:lpstr>PMP3_Paris</vt:lpstr>
      <vt:lpstr>PMP4_Exog._elas.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2022-09-19T14:39:41Z</dcterms:modified>
</cp:coreProperties>
</file>